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410" tabRatio="661" activeTab="3"/>
  </bookViews>
  <sheets>
    <sheet name="INDICES " sheetId="1" r:id="rId1"/>
    <sheet name="PROD." sheetId="2" r:id="rId2"/>
    <sheet name="PREÇOS" sheetId="3" r:id="rId3"/>
    <sheet name="CANA" sheetId="4" r:id="rId4"/>
    <sheet name="ATR" sheetId="5" r:id="rId5"/>
    <sheet name="MIX" sheetId="6" r:id="rId6"/>
    <sheet name="MIX-1" sheetId="7" r:id="rId7"/>
    <sheet name="VOLUMES" sheetId="8" r:id="rId8"/>
    <sheet name="RES" sheetId="9" state="hidden" r:id="rId9"/>
    <sheet name="RES-I" sheetId="10" r:id="rId10"/>
    <sheet name="RES-F" sheetId="11" state="hidden" r:id="rId11"/>
    <sheet name="Plan1" sheetId="12" state="hidden" r:id="rId12"/>
  </sheets>
  <externalReferences>
    <externalReference r:id="rId15"/>
  </externalReferences>
  <definedNames>
    <definedName name="_xlnm.Print_Area" localSheetId="8">'RES'!$B$7:$H$94</definedName>
    <definedName name="_xlnm.Print_Area" localSheetId="10">'RES-F'!$B$7:$H$95</definedName>
    <definedName name="_xlnm.Print_Area" localSheetId="9">'RES-I'!$B$7:$H$65</definedName>
  </definedNames>
  <calcPr fullCalcOnLoad="1"/>
</workbook>
</file>

<file path=xl/sharedStrings.xml><?xml version="1.0" encoding="utf-8"?>
<sst xmlns="http://schemas.openxmlformats.org/spreadsheetml/2006/main" count="1037" uniqueCount="199">
  <si>
    <t>MIX</t>
  </si>
  <si>
    <t>AMI</t>
  </si>
  <si>
    <t>AME</t>
  </si>
  <si>
    <t>PREÇO LIQUIDO DO ATR POR PRODUTO</t>
  </si>
  <si>
    <t>FATOR DE CONVERSÃO</t>
  </si>
  <si>
    <t>Media</t>
  </si>
  <si>
    <t>Preço Cana Básica</t>
  </si>
  <si>
    <t>kgs de ATR</t>
  </si>
  <si>
    <t>Jun</t>
  </si>
  <si>
    <t>Jul</t>
  </si>
  <si>
    <t>Ago</t>
  </si>
  <si>
    <t>Set</t>
  </si>
  <si>
    <t>Out</t>
  </si>
  <si>
    <t>Nov</t>
  </si>
  <si>
    <t>Dez</t>
  </si>
  <si>
    <t>Jan</t>
  </si>
  <si>
    <t>Fev</t>
  </si>
  <si>
    <t>Mar</t>
  </si>
  <si>
    <t>Produtos</t>
  </si>
  <si>
    <t>PREÇO DOS PRODUTOS - PVU - SEM IMPOSTOS</t>
  </si>
  <si>
    <t>ton</t>
  </si>
  <si>
    <t>Anidro</t>
  </si>
  <si>
    <t>m3</t>
  </si>
  <si>
    <t>Hidratado</t>
  </si>
  <si>
    <t>ART/ton</t>
  </si>
  <si>
    <t>PIS/COFINS</t>
  </si>
  <si>
    <t>CAMPO</t>
  </si>
  <si>
    <t>ESTEIRA</t>
  </si>
  <si>
    <t>PRECO BASICO</t>
  </si>
  <si>
    <t>TOTAL</t>
  </si>
  <si>
    <t>Maio</t>
  </si>
  <si>
    <t>MIX MENSAIS</t>
  </si>
  <si>
    <t>MIX ACUMULADO</t>
  </si>
  <si>
    <t>Totais</t>
  </si>
  <si>
    <t>VOLUMES MENSAIS COMERCIALIZADOS EM ATR</t>
  </si>
  <si>
    <t>VOLUMES ACUMULADOS COMERCIALIZADOS EM ATR</t>
  </si>
  <si>
    <t>Total</t>
  </si>
  <si>
    <t>AÇUCAR - ME</t>
  </si>
  <si>
    <t>TOTAL DE ALCOOL M3</t>
  </si>
  <si>
    <t>Junho</t>
  </si>
  <si>
    <t>Julho</t>
  </si>
  <si>
    <t>Agosto</t>
  </si>
  <si>
    <t>Setembro</t>
  </si>
  <si>
    <t>Outubro</t>
  </si>
  <si>
    <t>Novembro</t>
  </si>
  <si>
    <t>Dezembro</t>
  </si>
  <si>
    <t>Janeiro</t>
  </si>
  <si>
    <t>Fevereiro</t>
  </si>
  <si>
    <t>Março</t>
  </si>
  <si>
    <t>CALCULO DE ALCOOL RESIDUAL</t>
  </si>
  <si>
    <t>VOLUMES EM ATR</t>
  </si>
  <si>
    <t>Mês</t>
  </si>
  <si>
    <t>Mix</t>
  </si>
  <si>
    <t>Preço</t>
  </si>
  <si>
    <t>Acumulado</t>
  </si>
  <si>
    <t>PREÇO MÉDIO ACUMULADO</t>
  </si>
  <si>
    <t>VOLUMES DE VENDAS ACUMULADO</t>
  </si>
  <si>
    <t>VOLUMES DE VENDAS MENSAIS</t>
  </si>
  <si>
    <t>PREÇO MÉDIO MENSAL</t>
  </si>
  <si>
    <t>Campo</t>
  </si>
  <si>
    <t>S/PIS/COFINS</t>
  </si>
  <si>
    <t>C/PIS/COFINS</t>
  </si>
  <si>
    <t>Esteira</t>
  </si>
  <si>
    <t>PLANILHAS</t>
  </si>
  <si>
    <t>Índices</t>
  </si>
  <si>
    <t>Contém tabela de conversão dos produtos para ATR</t>
  </si>
  <si>
    <t>PREÇOS REALIZADOS E PROJETADOS DOS PRODUTOS</t>
  </si>
  <si>
    <t>Cana</t>
  </si>
  <si>
    <t>Tabela para publicação do preço da cana projetado para a safra</t>
  </si>
  <si>
    <t>Atr</t>
  </si>
  <si>
    <t>Tabela para publicação do ATR do mês e acumulado de safra</t>
  </si>
  <si>
    <t>Tabela auxiliar contendo volumes mensais e acumulados em ATR</t>
  </si>
  <si>
    <t>Tabela auxiliar contendo volumes mensais e acumulados de produtos</t>
  </si>
  <si>
    <t>Tabela auxiliar contendo preço médio mensal e acumulado de venda dos produtos</t>
  </si>
  <si>
    <t>Contém os preços médios realizados e projetados para cálculo do preço da cana projetado para a safra</t>
  </si>
  <si>
    <t>Tabela auxiliar contendo mix mensais e acumulados de comercialização</t>
  </si>
  <si>
    <t>Preços</t>
  </si>
  <si>
    <t xml:space="preserve"> FORMAÇÃO DO PREÇO DA CANA</t>
  </si>
  <si>
    <t>PREÇO LÍQUIDO DO ATR POR PRODUTO</t>
  </si>
  <si>
    <t>Média</t>
  </si>
  <si>
    <t>AÇUCAR - ME (TON)</t>
  </si>
  <si>
    <t>AÇUCAR MI (TON)</t>
  </si>
  <si>
    <t>MESES DE SAFRA</t>
  </si>
  <si>
    <t>121,9676 Kg ATR</t>
  </si>
  <si>
    <t>CONSELHO DOS PRODUTORES DE CANA-DE-AÇÚCAR, AÇÚCAR E ALCOOL</t>
  </si>
  <si>
    <t>DO ESTADO DO PARANÁ - CONSECANA-PARANÁ</t>
  </si>
  <si>
    <t>PROJEÇÃO DE PREÇO DA CANA-DE-AÇÚCAR - MÉDIA DO ESTADO DO PARANÁ</t>
  </si>
  <si>
    <t>PROJEÇÃO DO PREÇO DA CANA BÁSICA - R$/TON</t>
  </si>
  <si>
    <t>PREÇO BÁSICO</t>
  </si>
  <si>
    <t xml:space="preserve"> Data:</t>
  </si>
  <si>
    <t xml:space="preserve"> Local:</t>
  </si>
  <si>
    <t xml:space="preserve"> Mês:</t>
  </si>
  <si>
    <t xml:space="preserve"> Res nº.:</t>
  </si>
  <si>
    <t>conforme levantamento efetuado pelo Departamento de Economia Rural e Extensão da Universidade Federal do Paraná, são apresentados a seguir:</t>
  </si>
  <si>
    <t>Açucar - MI</t>
  </si>
  <si>
    <t>Açucar - ME</t>
  </si>
  <si>
    <t>REALIZADO</t>
  </si>
  <si>
    <t>A REALIZAR</t>
  </si>
  <si>
    <t>Produção</t>
  </si>
  <si>
    <t>VENDAS ACUMULADAS</t>
  </si>
  <si>
    <t>Produção Prevista</t>
  </si>
  <si>
    <t xml:space="preserve">  </t>
  </si>
  <si>
    <t>Os preços médios do Kg do ATR, por produto, obtidos no mês de</t>
  </si>
  <si>
    <t>Saldo</t>
  </si>
  <si>
    <t>no auditorio da FAEP, em Curitiba,</t>
  </si>
  <si>
    <t>ATR</t>
  </si>
  <si>
    <t>Em ATR</t>
  </si>
  <si>
    <t>na sede da Alcopar, na cidade de Maringá,</t>
  </si>
  <si>
    <t xml:space="preserve"> atendendo os dispositivos disciplinados no Capítulo II do Título II do seu Regulamento, aprova e divulga o preço do ATR realizado em</t>
  </si>
  <si>
    <t>Projetado</t>
  </si>
  <si>
    <t>ACUMULADO</t>
  </si>
  <si>
    <t>PROJETADO</t>
  </si>
  <si>
    <t>MÊS</t>
  </si>
  <si>
    <t xml:space="preserve"> atendendo os dispositivos disciplinados no Capítulo II do Título II do seu Regulamento, aprova e divulga</t>
  </si>
  <si>
    <t>Total de ATR</t>
  </si>
  <si>
    <t>Ton</t>
  </si>
  <si>
    <t xml:space="preserve">Os Conselheiros do Consecana-Paraná reunida no dia </t>
  </si>
  <si>
    <t xml:space="preserve"> Vigência</t>
  </si>
  <si>
    <t>OBS: EXCLUÍDO A PRODUÇÃO DA ALTO ALEGRE, CENTRAL DO PARANÁ, CASQUEL E DAIL</t>
  </si>
  <si>
    <t>Anidro - ME</t>
  </si>
  <si>
    <t>Anidro - MI</t>
  </si>
  <si>
    <t>Hidratado - ME</t>
  </si>
  <si>
    <t>Hidratado - MI</t>
  </si>
  <si>
    <t>VALOR DO ATR ACUMULADO</t>
  </si>
  <si>
    <t>AÇUCAR - MI</t>
  </si>
  <si>
    <t>PREÇO FINAL DA CANA-DE-AÇÚCAR - MÉDIA DO ESTADO DO PARANÁ</t>
  </si>
  <si>
    <t>Safra</t>
  </si>
  <si>
    <t xml:space="preserve"> e a projeção atualizada do preço da tonelada de cana-de-açúcar básica para a safra de </t>
  </si>
  <si>
    <t xml:space="preserve">, que passam a vigorar a partir de </t>
  </si>
  <si>
    <t xml:space="preserve">a projeção do preço da tonelada de cana-de-açúcar básica para a safra de </t>
  </si>
  <si>
    <t xml:space="preserve"> e o valor final do preço da tonelada de cana-de-açúcar básica para a safra de </t>
  </si>
  <si>
    <t xml:space="preserve">Os Conselheiros do Consecana-Paraná reunidos no dia </t>
  </si>
  <si>
    <t xml:space="preserve"> atendendo os dispositivos disciplinados no Capítulo II do Título II do seu Regulamento, aprovam e divulgam o preço do ATR realizado em</t>
  </si>
  <si>
    <t>Presidente</t>
  </si>
  <si>
    <t>Vice-Presidente</t>
  </si>
  <si>
    <t>Tabela de volumes mensais de comercialização de produtos</t>
  </si>
  <si>
    <t>Volumes</t>
  </si>
  <si>
    <t>Abril</t>
  </si>
  <si>
    <t>Abr</t>
  </si>
  <si>
    <t>Mai</t>
  </si>
  <si>
    <t>Res</t>
  </si>
  <si>
    <t>Resolução para publicação dos preços de ATR e Cana</t>
  </si>
  <si>
    <t>Anidro - O.Fins</t>
  </si>
  <si>
    <t>Hidratado - O.Fins</t>
  </si>
  <si>
    <t>na sede da FAEP, na cidade de Curitiba,</t>
  </si>
  <si>
    <t>ANA THEREZA DA COSTA RIBEIRO</t>
  </si>
  <si>
    <t>EAC - ME</t>
  </si>
  <si>
    <t>EAC - MI</t>
  </si>
  <si>
    <t>EHC - ME</t>
  </si>
  <si>
    <t>EHC - MI</t>
  </si>
  <si>
    <t>Obs: 1) EAC - ME+MI+of</t>
  </si>
  <si>
    <t>EA-of</t>
  </si>
  <si>
    <t>EH-of</t>
  </si>
  <si>
    <t>Obs: 1) EAC - ME+MI</t>
  </si>
  <si>
    <t xml:space="preserve">             EHC - ME+MI</t>
  </si>
  <si>
    <t xml:space="preserve">             EHC- ME+MI+of</t>
  </si>
  <si>
    <t>E. ANIDRO. M3 - ME</t>
  </si>
  <si>
    <t>E. ANIDRO. M3 - MI</t>
  </si>
  <si>
    <t>E. AN. O. FINS M3</t>
  </si>
  <si>
    <t>E. HIDRATADO M3 - ME</t>
  </si>
  <si>
    <t>E. HIDRATADO M3 - MI</t>
  </si>
  <si>
    <t>E. HID. O. FINS M3</t>
  </si>
  <si>
    <t>E. ANIDRO - TOTAL</t>
  </si>
  <si>
    <t>E. HIDRAT - TOTAL</t>
  </si>
  <si>
    <t>EACE</t>
  </si>
  <si>
    <t>EACI</t>
  </si>
  <si>
    <t>EHCE</t>
  </si>
  <si>
    <t>EHCI</t>
  </si>
  <si>
    <t>EA - T</t>
  </si>
  <si>
    <t>EH - T</t>
  </si>
  <si>
    <t>EA</t>
  </si>
  <si>
    <t>EH</t>
  </si>
  <si>
    <t>,</t>
  </si>
  <si>
    <t>DAGOBERTO DELMAR PINTO</t>
  </si>
  <si>
    <t>27 de Fevereiro de 2.019</t>
  </si>
  <si>
    <t>Fevereiro de 2.019</t>
  </si>
  <si>
    <t>12 - SAFRA 2018/2019</t>
  </si>
  <si>
    <t>01 de Março de 2.019</t>
  </si>
  <si>
    <t>29 de Março de 2.019</t>
  </si>
  <si>
    <t>Março de 2.019</t>
  </si>
  <si>
    <t>13 - SAFRA 2018/2019</t>
  </si>
  <si>
    <t>Projeção Safra 2019/20</t>
  </si>
  <si>
    <t>ABRIL/2020</t>
  </si>
  <si>
    <t>MAIO/2020</t>
  </si>
  <si>
    <t>JUNHO/2020</t>
  </si>
  <si>
    <t>JULHO/2020</t>
  </si>
  <si>
    <t>AGOSTO/2020</t>
  </si>
  <si>
    <t>SETEMBRO/2020</t>
  </si>
  <si>
    <t>OUTUBRO/2020</t>
  </si>
  <si>
    <t>NOVEMBRO/2020</t>
  </si>
  <si>
    <t>DEZEMBRO/2020</t>
  </si>
  <si>
    <t>JANEIRO/2021</t>
  </si>
  <si>
    <t>FEVEREIRO/2021</t>
  </si>
  <si>
    <t>MARÇO/2021</t>
  </si>
  <si>
    <t>2020/2021</t>
  </si>
  <si>
    <t>30 de Julho de 2.020</t>
  </si>
  <si>
    <t>Julho de 2.020</t>
  </si>
  <si>
    <t>01 de Agosto de 2.020</t>
  </si>
  <si>
    <t>05 - SAFRA 2020/2021</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</si>
</sst>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R$&quot;#,##0_);\(&quot;R$&quot;#,##0\)"/>
    <numFmt numFmtId="185" formatCode="&quot;R$&quot;#,##0_);[Red]\(&quot;R$&quot;#,##0\)"/>
    <numFmt numFmtId="186" formatCode="&quot;R$&quot;#,##0.00_);\(&quot;R$&quot;#,##0.00\)"/>
    <numFmt numFmtId="187" formatCode="&quot;R$&quot;#,##0.00_);[Red]\(&quot;R$&quot;#,##0.00\)"/>
    <numFmt numFmtId="188" formatCode="_(&quot;R$&quot;* #,##0_);_(&quot;R$&quot;* \(#,##0\);_(&quot;R$&quot;* &quot;-&quot;_);_(@_)"/>
    <numFmt numFmtId="189" formatCode="_(&quot;R$&quot;* #,##0.00_);_(&quot;R$&quot;* \(#,##0.00\);_(&quot;R$&quot;* &quot;-&quot;??_);_(@_)"/>
    <numFmt numFmtId="190" formatCode="0.0%"/>
    <numFmt numFmtId="191" formatCode="_(* #,##0.000_);_(* \(#,##0.000\);_(* &quot;-&quot;??_);_(@_)"/>
    <numFmt numFmtId="192" formatCode="_(* #,##0.0000_);_(* \(#,##0.0000\);_(* &quot;-&quot;??_);_(@_)"/>
    <numFmt numFmtId="193" formatCode="_(* #,##0.0_);_(* \(#,##0.0\);_(* &quot;-&quot;??_);_(@_)"/>
    <numFmt numFmtId="194" formatCode="_(* #,##0.0000_);_(* \(#,##0.0000\);_(* &quot;-&quot;????_);_(@_)"/>
    <numFmt numFmtId="195" formatCode="0.000%"/>
    <numFmt numFmtId="196" formatCode="_(* #,##0.000_);_(* \(#,##0.000\);_(* &quot;-&quot;????_);_(@_)"/>
    <numFmt numFmtId="197" formatCode="_(* #,##0.00_);_(* \(#,##0.00\);_(* &quot;-&quot;????_);_(@_)"/>
    <numFmt numFmtId="198" formatCode="0.000"/>
    <numFmt numFmtId="199" formatCode="0.0000"/>
    <numFmt numFmtId="200" formatCode="_(* #,##0_);_(* \(#,##0\);_(* &quot;-&quot;??_);_(@_)"/>
    <numFmt numFmtId="201" formatCode="0.0"/>
    <numFmt numFmtId="202" formatCode="&quot;R$.&quot;#,##0_);\(&quot;R$.&quot;#,##0\)"/>
    <numFmt numFmtId="203" formatCode="&quot;R$.&quot;#,##0_);[Red]\(&quot;R$.&quot;#,##0\)"/>
    <numFmt numFmtId="204" formatCode="&quot;R$.&quot;#,##0.00_);\(&quot;R$.&quot;#,##0.00\)"/>
    <numFmt numFmtId="205" formatCode="&quot;R$.&quot;#,##0.00_);[Red]\(&quot;R$.&quot;#,##0.00\)"/>
    <numFmt numFmtId="206" formatCode="_(&quot;R$.&quot;* #,##0_);_(&quot;R$.&quot;* \(#,##0\);_(&quot;R$.&quot;* &quot;-&quot;_);_(@_)"/>
    <numFmt numFmtId="207" formatCode="_(&quot;R$.&quot;* #,##0.00_);_(&quot;R$.&quot;* \(#,##0.00\);_(&quot;R$.&quot;* &quot;-&quot;??_);_(@_)"/>
    <numFmt numFmtId="208" formatCode="&quot;Cr$&quot;#,##0_);\(&quot;Cr$&quot;#,##0\)"/>
    <numFmt numFmtId="209" formatCode="&quot;Cr$&quot;#,##0_);[Red]\(&quot;Cr$&quot;#,##0\)"/>
    <numFmt numFmtId="210" formatCode="&quot;Cr$&quot;#,##0.00_);\(&quot;Cr$&quot;#,##0.00\)"/>
    <numFmt numFmtId="211" formatCode="&quot;Cr$&quot;#,##0.00_);[Red]\(&quot;Cr$&quot;#,##0.00\)"/>
    <numFmt numFmtId="212" formatCode="_(&quot;Cr$&quot;* #,##0_);_(&quot;Cr$&quot;* \(#,##0\);_(&quot;Cr$&quot;* &quot;-&quot;_);_(@_)"/>
    <numFmt numFmtId="213" formatCode="_(&quot;Cr$&quot;* #,##0.00_);_(&quot;Cr$&quot;* \(#,##0.00\);_(&quot;Cr$&quot;* &quot;-&quot;??_);_(@_)"/>
    <numFmt numFmtId="214" formatCode="0.000000"/>
    <numFmt numFmtId="215" formatCode="0.0000000"/>
    <numFmt numFmtId="216" formatCode="0.00000"/>
    <numFmt numFmtId="217" formatCode="_(* #,##0.00000_);_(* \(#,##0.00000\);_(* &quot;-&quot;??_);_(@_)"/>
    <numFmt numFmtId="218" formatCode="#,##0.00000"/>
    <numFmt numFmtId="219" formatCode="_(* #,##0.00000_);_(* \(#,##0.00000\);_(* &quot;-&quot;?????_);_(@_)"/>
    <numFmt numFmtId="220" formatCode="0.00000000"/>
    <numFmt numFmtId="221" formatCode="&quot;Sim&quot;;&quot;Sim&quot;;&quot;Não&quot;"/>
    <numFmt numFmtId="222" formatCode="&quot;Verdadeiro&quot;;&quot;Verdadeiro&quot;;&quot;Falso&quot;"/>
    <numFmt numFmtId="223" formatCode="&quot;Ativar&quot;;&quot;Ativar&quot;;&quot;Desativar&quot;"/>
    <numFmt numFmtId="224" formatCode="[$€-2]\ #,##0.00_);[Red]\([$€-2]\ #,##0.00\)"/>
    <numFmt numFmtId="225" formatCode="_(* #,##0.000000_);_(* \(#,##0.000000\);_(* &quot;-&quot;??_);_(@_)"/>
    <numFmt numFmtId="226" formatCode="_-* #,##0.00000_-;\-* #,##0.00000_-;_-* &quot;-&quot;?????_-;_-@_-"/>
  </numFmts>
  <fonts count="57">
    <font>
      <sz val="10"/>
      <name val="Arial"/>
      <family val="0"/>
    </font>
    <font>
      <sz val="12"/>
      <name val="Arial"/>
      <family val="2"/>
    </font>
    <font>
      <b/>
      <sz val="14"/>
      <name val="Arial"/>
      <family val="2"/>
    </font>
    <font>
      <b/>
      <sz val="12"/>
      <name val="Arial"/>
      <family val="2"/>
    </font>
    <font>
      <b/>
      <sz val="10"/>
      <name val="Arial"/>
      <family val="2"/>
    </font>
    <font>
      <b/>
      <sz val="11"/>
      <name val="Arial"/>
      <family val="2"/>
    </font>
    <font>
      <sz val="11"/>
      <name val="Arial"/>
      <family val="2"/>
    </font>
    <font>
      <sz val="11"/>
      <color indexed="9"/>
      <name val="Arial"/>
      <family val="2"/>
    </font>
    <font>
      <b/>
      <sz val="10"/>
      <color indexed="48"/>
      <name val="Arial"/>
      <family val="2"/>
    </font>
    <font>
      <sz val="14"/>
      <name val="Arial"/>
      <family val="2"/>
    </font>
    <font>
      <sz val="10"/>
      <color indexed="15"/>
      <name val="Arial"/>
      <family val="2"/>
    </font>
    <font>
      <sz val="10"/>
      <color indexed="12"/>
      <name val="Arial"/>
      <family val="2"/>
    </font>
    <font>
      <u val="single"/>
      <sz val="10"/>
      <color indexed="12"/>
      <name val="Arial"/>
      <family val="2"/>
    </font>
    <font>
      <u val="single"/>
      <sz val="10"/>
      <color indexed="36"/>
      <name val="Arial"/>
      <family val="2"/>
    </font>
    <font>
      <sz val="8"/>
      <name val="Arial"/>
      <family val="2"/>
    </font>
    <font>
      <b/>
      <sz val="10"/>
      <color indexed="12"/>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4"/>
      <color indexed="12"/>
      <name val="Arial"/>
      <family val="2"/>
    </font>
    <font>
      <sz val="12"/>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4"/>
      <color rgb="FF0000CC"/>
      <name val="Arial"/>
      <family val="2"/>
    </font>
    <font>
      <sz val="12"/>
      <color rgb="FF0000CC"/>
      <name val="Arial"/>
      <family val="2"/>
    </font>
    <font>
      <sz val="10"/>
      <color theme="1"/>
      <name val="Arial"/>
      <family val="2"/>
    </font>
    <font>
      <sz val="12"/>
      <color rgb="FF0000FF"/>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0"/>
        <bgColor indexed="64"/>
      </patternFill>
    </fill>
    <fill>
      <patternFill patternType="solid">
        <fgColor indexed="13"/>
        <bgColor indexed="64"/>
      </patternFill>
    </fill>
    <fill>
      <patternFill patternType="solid">
        <fgColor indexed="41"/>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1"/>
        <bgColor indexed="64"/>
      </patternFill>
    </fill>
    <fill>
      <patternFill patternType="solid">
        <fgColor rgb="FF00FFFF"/>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style="medium"/>
    </border>
    <border>
      <left style="thin"/>
      <right>
        <color indexed="63"/>
      </right>
      <top style="thin"/>
      <bottom style="medium"/>
    </border>
    <border>
      <left style="medium"/>
      <right style="thin"/>
      <top style="medium"/>
      <bottom style="thin"/>
    </border>
    <border>
      <left style="thin"/>
      <right style="thin"/>
      <top>
        <color indexed="63"/>
      </top>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thin"/>
      <top style="thin"/>
      <bottom style="medium"/>
    </border>
    <border>
      <left style="thin"/>
      <right style="medium"/>
      <top style="thin"/>
      <bottom style="medium"/>
    </border>
    <border>
      <left style="double"/>
      <right style="double"/>
      <top style="double"/>
      <bottom style="double"/>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style="thin"/>
      <bottom style="thin"/>
    </border>
    <border>
      <left style="thin"/>
      <right style="medium"/>
      <top>
        <color indexed="63"/>
      </top>
      <bottom style="thin"/>
    </border>
    <border>
      <left>
        <color indexed="63"/>
      </left>
      <right style="thin"/>
      <top>
        <color indexed="63"/>
      </top>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color indexed="63"/>
      </right>
      <top style="medium"/>
      <bottom>
        <color indexed="63"/>
      </bottom>
    </border>
    <border>
      <left style="medium"/>
      <right style="thin"/>
      <top style="medium"/>
      <bottom>
        <color indexed="63"/>
      </bottom>
    </border>
    <border>
      <left style="double"/>
      <right>
        <color indexed="63"/>
      </right>
      <top style="double"/>
      <bottom style="double"/>
    </border>
    <border>
      <left>
        <color indexed="63"/>
      </left>
      <right style="double"/>
      <top style="double"/>
      <bottom style="double"/>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mediu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4" fillId="32" borderId="0" applyNumberFormat="0" applyBorder="0" applyAlignment="0" applyProtection="0"/>
    <xf numFmtId="0" fontId="45" fillId="21" borderId="5" applyNumberFormat="0" applyAlignment="0" applyProtection="0"/>
    <xf numFmtId="175"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177" fontId="0" fillId="0" borderId="0" applyFont="0" applyFill="0" applyBorder="0" applyAlignment="0" applyProtection="0"/>
  </cellStyleXfs>
  <cellXfs count="332">
    <xf numFmtId="0" fontId="0" fillId="0" borderId="0" xfId="0" applyAlignment="1">
      <alignment/>
    </xf>
    <xf numFmtId="0" fontId="1" fillId="0" borderId="0" xfId="0" applyFont="1" applyAlignment="1">
      <alignment/>
    </xf>
    <xf numFmtId="177" fontId="1" fillId="0" borderId="0" xfId="62" applyFont="1" applyAlignment="1">
      <alignment/>
    </xf>
    <xf numFmtId="10" fontId="1" fillId="0" borderId="0" xfId="0" applyNumberFormat="1" applyFont="1" applyAlignment="1">
      <alignment/>
    </xf>
    <xf numFmtId="0" fontId="2" fillId="0" borderId="0" xfId="0" applyFont="1" applyAlignment="1">
      <alignment/>
    </xf>
    <xf numFmtId="0" fontId="3" fillId="0" borderId="0" xfId="0" applyFont="1" applyAlignment="1">
      <alignment/>
    </xf>
    <xf numFmtId="10" fontId="1" fillId="0" borderId="10" xfId="50" applyNumberFormat="1" applyFont="1" applyBorder="1" applyAlignment="1">
      <alignment/>
    </xf>
    <xf numFmtId="177" fontId="1" fillId="0" borderId="10" xfId="62" applyFont="1" applyBorder="1" applyAlignment="1">
      <alignment/>
    </xf>
    <xf numFmtId="0" fontId="1" fillId="0" borderId="11" xfId="0" applyFont="1" applyBorder="1" applyAlignment="1">
      <alignment/>
    </xf>
    <xf numFmtId="177" fontId="1" fillId="0" borderId="12" xfId="62" applyFont="1" applyBorder="1" applyAlignment="1">
      <alignment/>
    </xf>
    <xf numFmtId="177" fontId="1" fillId="0" borderId="13" xfId="62"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177" fontId="1" fillId="0" borderId="17" xfId="62" applyFont="1" applyBorder="1" applyAlignment="1">
      <alignment/>
    </xf>
    <xf numFmtId="192" fontId="1" fillId="0" borderId="10" xfId="62" applyNumberFormat="1" applyFont="1" applyBorder="1" applyAlignment="1">
      <alignment/>
    </xf>
    <xf numFmtId="0" fontId="1" fillId="0" borderId="0" xfId="0" applyFont="1" applyAlignment="1">
      <alignment horizontal="right"/>
    </xf>
    <xf numFmtId="0" fontId="1" fillId="0" borderId="18" xfId="0" applyFont="1" applyBorder="1" applyAlignment="1">
      <alignment horizontal="left"/>
    </xf>
    <xf numFmtId="192" fontId="1" fillId="0" borderId="19" xfId="62" applyNumberFormat="1" applyFont="1" applyBorder="1" applyAlignment="1">
      <alignment/>
    </xf>
    <xf numFmtId="200" fontId="1" fillId="0" borderId="0" xfId="62" applyNumberFormat="1" applyFont="1" applyAlignment="1">
      <alignment/>
    </xf>
    <xf numFmtId="199" fontId="1" fillId="0" borderId="0" xfId="0" applyNumberFormat="1" applyFont="1" applyAlignment="1">
      <alignment/>
    </xf>
    <xf numFmtId="190" fontId="1" fillId="0" borderId="0" xfId="50" applyNumberFormat="1" applyFont="1" applyAlignment="1">
      <alignment/>
    </xf>
    <xf numFmtId="10" fontId="1" fillId="0" borderId="20" xfId="50" applyNumberFormat="1" applyFont="1" applyBorder="1" applyAlignment="1">
      <alignment/>
    </xf>
    <xf numFmtId="10" fontId="1" fillId="0" borderId="21" xfId="50" applyNumberFormat="1" applyFont="1" applyBorder="1" applyAlignment="1">
      <alignment/>
    </xf>
    <xf numFmtId="10" fontId="1" fillId="0" borderId="22" xfId="50" applyNumberFormat="1" applyFont="1" applyBorder="1" applyAlignment="1">
      <alignment/>
    </xf>
    <xf numFmtId="0" fontId="1" fillId="0" borderId="23" xfId="0" applyFont="1" applyBorder="1" applyAlignment="1">
      <alignment horizontal="center"/>
    </xf>
    <xf numFmtId="0" fontId="1" fillId="0" borderId="24" xfId="0" applyFont="1" applyBorder="1" applyAlignment="1">
      <alignment horizontal="center"/>
    </xf>
    <xf numFmtId="200" fontId="1" fillId="0" borderId="10" xfId="62" applyNumberFormat="1" applyFont="1" applyBorder="1" applyAlignment="1">
      <alignment/>
    </xf>
    <xf numFmtId="200" fontId="1" fillId="0" borderId="25" xfId="0" applyNumberFormat="1" applyFont="1" applyBorder="1" applyAlignment="1">
      <alignment/>
    </xf>
    <xf numFmtId="10" fontId="1" fillId="0" borderId="10" xfId="62" applyNumberFormat="1" applyFont="1" applyBorder="1" applyAlignment="1">
      <alignment/>
    </xf>
    <xf numFmtId="0" fontId="1" fillId="0" borderId="10" xfId="0" applyFont="1" applyBorder="1" applyAlignment="1">
      <alignment/>
    </xf>
    <xf numFmtId="0" fontId="4" fillId="0" borderId="0" xfId="0" applyFont="1" applyAlignment="1">
      <alignment/>
    </xf>
    <xf numFmtId="0" fontId="0" fillId="0" borderId="0" xfId="0" applyAlignment="1">
      <alignment horizontal="center"/>
    </xf>
    <xf numFmtId="0" fontId="1" fillId="0" borderId="10" xfId="0" applyFont="1" applyBorder="1" applyAlignment="1">
      <alignment horizontal="center"/>
    </xf>
    <xf numFmtId="0" fontId="1" fillId="0" borderId="25" xfId="0" applyFont="1" applyBorder="1" applyAlignment="1">
      <alignment horizontal="center"/>
    </xf>
    <xf numFmtId="177" fontId="1" fillId="0" borderId="25" xfId="62" applyFont="1" applyBorder="1" applyAlignment="1">
      <alignment/>
    </xf>
    <xf numFmtId="192" fontId="1" fillId="0" borderId="25" xfId="62" applyNumberFormat="1" applyFont="1" applyBorder="1" applyAlignment="1">
      <alignment/>
    </xf>
    <xf numFmtId="0" fontId="1" fillId="0" borderId="25" xfId="0" applyFont="1" applyBorder="1" applyAlignment="1">
      <alignment/>
    </xf>
    <xf numFmtId="0" fontId="1" fillId="0" borderId="26" xfId="0" applyFont="1" applyBorder="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1" fillId="0" borderId="27" xfId="0" applyFont="1" applyBorder="1" applyAlignment="1">
      <alignment/>
    </xf>
    <xf numFmtId="192" fontId="1" fillId="0" borderId="23" xfId="62" applyNumberFormat="1" applyFont="1" applyBorder="1" applyAlignment="1">
      <alignment/>
    </xf>
    <xf numFmtId="177" fontId="1" fillId="0" borderId="28" xfId="62" applyFont="1" applyBorder="1" applyAlignment="1">
      <alignment/>
    </xf>
    <xf numFmtId="10" fontId="1" fillId="0" borderId="29" xfId="50" applyNumberFormat="1" applyFont="1" applyBorder="1" applyAlignment="1">
      <alignment/>
    </xf>
    <xf numFmtId="0" fontId="1" fillId="0" borderId="30" xfId="0" applyFont="1" applyBorder="1" applyAlignment="1">
      <alignment horizontal="left"/>
    </xf>
    <xf numFmtId="0" fontId="3" fillId="33" borderId="10" xfId="0" applyFont="1" applyFill="1" applyBorder="1" applyAlignment="1">
      <alignment/>
    </xf>
    <xf numFmtId="0" fontId="0" fillId="0" borderId="0" xfId="0" applyFont="1" applyAlignment="1">
      <alignment/>
    </xf>
    <xf numFmtId="0" fontId="4" fillId="34" borderId="10" xfId="0" applyFont="1" applyFill="1" applyBorder="1" applyAlignment="1">
      <alignment horizontal="right"/>
    </xf>
    <xf numFmtId="0" fontId="4" fillId="35" borderId="10" xfId="0" applyFont="1" applyFill="1" applyBorder="1" applyAlignment="1">
      <alignment horizontal="center"/>
    </xf>
    <xf numFmtId="0" fontId="4" fillId="0" borderId="0" xfId="0" applyFont="1" applyAlignment="1">
      <alignment horizontal="center"/>
    </xf>
    <xf numFmtId="0" fontId="6" fillId="0" borderId="0" xfId="0" applyFont="1" applyAlignment="1">
      <alignment horizontal="center"/>
    </xf>
    <xf numFmtId="0" fontId="6" fillId="0" borderId="0" xfId="0" applyFont="1" applyAlignment="1" quotePrefix="1">
      <alignment horizontal="center"/>
    </xf>
    <xf numFmtId="0" fontId="6" fillId="0" borderId="0" xfId="0" applyFont="1" applyAlignment="1">
      <alignment horizontal="justify" wrapText="1"/>
    </xf>
    <xf numFmtId="0" fontId="6" fillId="0" borderId="10" xfId="0" applyFont="1" applyBorder="1" applyAlignment="1">
      <alignment horizontal="center"/>
    </xf>
    <xf numFmtId="0" fontId="6" fillId="0" borderId="25" xfId="0" applyFont="1" applyBorder="1" applyAlignment="1">
      <alignment horizontal="center"/>
    </xf>
    <xf numFmtId="0" fontId="6" fillId="0" borderId="11" xfId="0" applyFont="1" applyBorder="1" applyAlignment="1">
      <alignment/>
    </xf>
    <xf numFmtId="10" fontId="6" fillId="0" borderId="10" xfId="62" applyNumberFormat="1" applyFont="1" applyBorder="1" applyAlignment="1">
      <alignment/>
    </xf>
    <xf numFmtId="177" fontId="6" fillId="0" borderId="10" xfId="62" applyFont="1" applyBorder="1" applyAlignment="1">
      <alignment/>
    </xf>
    <xf numFmtId="177" fontId="6" fillId="0" borderId="25" xfId="62" applyFont="1" applyBorder="1" applyAlignment="1">
      <alignment/>
    </xf>
    <xf numFmtId="0" fontId="6" fillId="0" borderId="26" xfId="0" applyFont="1" applyBorder="1" applyAlignment="1">
      <alignment/>
    </xf>
    <xf numFmtId="10" fontId="6" fillId="0" borderId="31" xfId="62" applyNumberFormat="1" applyFont="1" applyBorder="1" applyAlignment="1">
      <alignment/>
    </xf>
    <xf numFmtId="177" fontId="6" fillId="0" borderId="31" xfId="62" applyFont="1" applyBorder="1" applyAlignment="1">
      <alignment/>
    </xf>
    <xf numFmtId="177" fontId="6" fillId="0" borderId="32" xfId="62" applyFont="1" applyBorder="1" applyAlignment="1">
      <alignment/>
    </xf>
    <xf numFmtId="10" fontId="6" fillId="0" borderId="10" xfId="50" applyNumberFormat="1" applyFont="1" applyBorder="1" applyAlignment="1">
      <alignment/>
    </xf>
    <xf numFmtId="192" fontId="6" fillId="0" borderId="10" xfId="62" applyNumberFormat="1" applyFont="1" applyBorder="1" applyAlignment="1">
      <alignment/>
    </xf>
    <xf numFmtId="192" fontId="6" fillId="0" borderId="25" xfId="62" applyNumberFormat="1" applyFont="1" applyBorder="1" applyAlignment="1">
      <alignment/>
    </xf>
    <xf numFmtId="0" fontId="5" fillId="0" borderId="0" xfId="0" applyFont="1" applyAlignment="1">
      <alignment horizontal="center"/>
    </xf>
    <xf numFmtId="10" fontId="6" fillId="0" borderId="12" xfId="50" applyNumberFormat="1" applyFont="1" applyBorder="1" applyAlignment="1">
      <alignment horizontal="right"/>
    </xf>
    <xf numFmtId="10" fontId="6" fillId="0" borderId="17" xfId="50" applyNumberFormat="1" applyFont="1" applyBorder="1" applyAlignment="1">
      <alignment horizontal="right"/>
    </xf>
    <xf numFmtId="0" fontId="5" fillId="0" borderId="0" xfId="0" applyFont="1" applyAlignment="1">
      <alignment horizontal="right"/>
    </xf>
    <xf numFmtId="197" fontId="5" fillId="0" borderId="0" xfId="0" applyNumberFormat="1" applyFont="1" applyAlignment="1">
      <alignment horizontal="center"/>
    </xf>
    <xf numFmtId="177" fontId="6" fillId="0" borderId="25" xfId="0" applyNumberFormat="1" applyFont="1" applyBorder="1" applyAlignment="1">
      <alignment horizontal="center"/>
    </xf>
    <xf numFmtId="177" fontId="6" fillId="0" borderId="32" xfId="0" applyNumberFormat="1" applyFont="1" applyBorder="1" applyAlignment="1">
      <alignment horizontal="center"/>
    </xf>
    <xf numFmtId="192" fontId="6" fillId="0" borderId="25" xfId="62" applyNumberFormat="1" applyFont="1" applyBorder="1" applyAlignment="1">
      <alignment horizontal="center"/>
    </xf>
    <xf numFmtId="0" fontId="6" fillId="0" borderId="16" xfId="0" applyFont="1" applyBorder="1" applyAlignment="1">
      <alignment horizontal="left" vertical="center"/>
    </xf>
    <xf numFmtId="0" fontId="7" fillId="0" borderId="0" xfId="0" applyFont="1" applyAlignment="1" quotePrefix="1">
      <alignment horizontal="left" wrapText="1"/>
    </xf>
    <xf numFmtId="17" fontId="4" fillId="33" borderId="10" xfId="0" applyNumberFormat="1" applyFont="1" applyFill="1" applyBorder="1" applyAlignment="1" quotePrefix="1">
      <alignment horizontal="left"/>
    </xf>
    <xf numFmtId="0" fontId="4" fillId="33" borderId="10" xfId="0" applyFont="1" applyFill="1" applyBorder="1" applyAlignment="1" quotePrefix="1">
      <alignment horizontal="left"/>
    </xf>
    <xf numFmtId="0" fontId="8" fillId="0" borderId="0" xfId="0" applyFont="1" applyAlignment="1">
      <alignment/>
    </xf>
    <xf numFmtId="0" fontId="8" fillId="0" borderId="0" xfId="0" applyFont="1" applyAlignment="1" quotePrefix="1">
      <alignment horizontal="left"/>
    </xf>
    <xf numFmtId="0" fontId="3" fillId="33" borderId="10" xfId="0" applyFont="1" applyFill="1" applyBorder="1" applyAlignment="1" applyProtection="1">
      <alignment horizontal="center"/>
      <protection locked="0"/>
    </xf>
    <xf numFmtId="0" fontId="0" fillId="0" borderId="0" xfId="0" applyAlignment="1" applyProtection="1">
      <alignment/>
      <protection locked="0"/>
    </xf>
    <xf numFmtId="197" fontId="4" fillId="0" borderId="33" xfId="0" applyNumberFormat="1" applyFont="1" applyBorder="1" applyAlignment="1">
      <alignment horizontal="right"/>
    </xf>
    <xf numFmtId="197" fontId="4" fillId="0" borderId="33" xfId="0" applyNumberFormat="1" applyFont="1" applyBorder="1" applyAlignment="1">
      <alignment/>
    </xf>
    <xf numFmtId="177" fontId="4" fillId="0" borderId="33" xfId="62" applyFont="1" applyBorder="1" applyAlignment="1">
      <alignment horizontal="right"/>
    </xf>
    <xf numFmtId="0" fontId="3" fillId="0" borderId="0" xfId="0" applyFont="1" applyAlignment="1" quotePrefix="1">
      <alignment horizontal="left"/>
    </xf>
    <xf numFmtId="0" fontId="7" fillId="0" borderId="0" xfId="0" applyFont="1" applyAlignment="1" applyProtection="1" quotePrefix="1">
      <alignment horizontal="left" wrapText="1"/>
      <protection hidden="1"/>
    </xf>
    <xf numFmtId="0" fontId="7" fillId="0" borderId="0" xfId="0" applyFont="1" applyAlignment="1" applyProtection="1">
      <alignment horizontal="justify" wrapText="1"/>
      <protection hidden="1"/>
    </xf>
    <xf numFmtId="0" fontId="3" fillId="0" borderId="33" xfId="0" applyFont="1" applyBorder="1" applyAlignment="1">
      <alignment horizontal="right"/>
    </xf>
    <xf numFmtId="0" fontId="3" fillId="0" borderId="33" xfId="0" applyFont="1" applyBorder="1" applyAlignment="1">
      <alignment/>
    </xf>
    <xf numFmtId="197" fontId="3" fillId="0" borderId="33" xfId="0" applyNumberFormat="1" applyFont="1" applyBorder="1" applyAlignment="1">
      <alignment/>
    </xf>
    <xf numFmtId="177" fontId="3" fillId="0" borderId="33" xfId="0" applyNumberFormat="1" applyFont="1" applyBorder="1" applyAlignment="1">
      <alignment/>
    </xf>
    <xf numFmtId="200" fontId="4" fillId="0" borderId="0" xfId="62" applyNumberFormat="1" applyFont="1" applyAlignment="1">
      <alignment/>
    </xf>
    <xf numFmtId="194" fontId="5" fillId="0" borderId="0" xfId="0" applyNumberFormat="1" applyFont="1" applyAlignment="1">
      <alignment horizontal="center"/>
    </xf>
    <xf numFmtId="0" fontId="4" fillId="34" borderId="0" xfId="0" applyFont="1" applyFill="1" applyAlignment="1">
      <alignment/>
    </xf>
    <xf numFmtId="0" fontId="9" fillId="0" borderId="0" xfId="0" applyFont="1" applyAlignment="1">
      <alignment/>
    </xf>
    <xf numFmtId="0" fontId="1" fillId="0" borderId="23" xfId="0" applyFont="1" applyBorder="1" applyAlignment="1">
      <alignment/>
    </xf>
    <xf numFmtId="177" fontId="1" fillId="0" borderId="10" xfId="50" applyNumberFormat="1" applyFont="1" applyBorder="1" applyAlignment="1">
      <alignment/>
    </xf>
    <xf numFmtId="177" fontId="1" fillId="0" borderId="10" xfId="62" applyFont="1" applyBorder="1" applyAlignment="1" applyProtection="1">
      <alignment/>
      <protection locked="0"/>
    </xf>
    <xf numFmtId="177" fontId="1" fillId="0" borderId="25" xfId="0" applyNumberFormat="1" applyFont="1" applyBorder="1" applyAlignment="1">
      <alignment/>
    </xf>
    <xf numFmtId="0" fontId="1" fillId="0" borderId="23" xfId="0" applyFont="1" applyBorder="1" applyAlignment="1">
      <alignment horizontal="right"/>
    </xf>
    <xf numFmtId="0" fontId="1" fillId="0" borderId="21" xfId="0" applyFont="1" applyBorder="1" applyAlignment="1">
      <alignment/>
    </xf>
    <xf numFmtId="0" fontId="1" fillId="0" borderId="34" xfId="0" applyFont="1" applyBorder="1" applyAlignment="1">
      <alignment/>
    </xf>
    <xf numFmtId="194" fontId="1" fillId="0" borderId="35" xfId="0" applyNumberFormat="1" applyFont="1" applyBorder="1" applyAlignment="1">
      <alignment/>
    </xf>
    <xf numFmtId="192" fontId="1" fillId="0" borderId="32" xfId="0" applyNumberFormat="1" applyFont="1" applyBorder="1" applyAlignment="1">
      <alignment/>
    </xf>
    <xf numFmtId="0" fontId="1" fillId="0" borderId="36" xfId="0" applyFont="1" applyBorder="1" applyAlignment="1">
      <alignment/>
    </xf>
    <xf numFmtId="0" fontId="1" fillId="0" borderId="37" xfId="0" applyFont="1" applyBorder="1" applyAlignment="1">
      <alignment/>
    </xf>
    <xf numFmtId="0" fontId="1" fillId="0" borderId="38" xfId="0" applyFont="1" applyBorder="1" applyAlignment="1">
      <alignment/>
    </xf>
    <xf numFmtId="0" fontId="1" fillId="0" borderId="39" xfId="0" applyFont="1" applyBorder="1" applyAlignment="1">
      <alignment/>
    </xf>
    <xf numFmtId="0" fontId="1" fillId="0" borderId="40" xfId="0" applyFont="1" applyBorder="1" applyAlignment="1">
      <alignment/>
    </xf>
    <xf numFmtId="0" fontId="1" fillId="0" borderId="41" xfId="0" applyFont="1" applyBorder="1" applyAlignment="1">
      <alignment/>
    </xf>
    <xf numFmtId="0" fontId="1" fillId="0" borderId="42" xfId="0" applyFont="1" applyBorder="1" applyAlignment="1">
      <alignment/>
    </xf>
    <xf numFmtId="197" fontId="1" fillId="0" borderId="10" xfId="0" applyNumberFormat="1" applyFont="1" applyBorder="1" applyAlignment="1">
      <alignment/>
    </xf>
    <xf numFmtId="197" fontId="1" fillId="0" borderId="25" xfId="0" applyNumberFormat="1" applyFont="1" applyBorder="1" applyAlignment="1">
      <alignment/>
    </xf>
    <xf numFmtId="0" fontId="1" fillId="0" borderId="43" xfId="0" applyFont="1" applyBorder="1" applyAlignment="1">
      <alignment/>
    </xf>
    <xf numFmtId="0" fontId="1" fillId="0" borderId="44" xfId="0" applyFont="1" applyBorder="1" applyAlignment="1">
      <alignment/>
    </xf>
    <xf numFmtId="0" fontId="1" fillId="0" borderId="45" xfId="0" applyFont="1" applyBorder="1" applyAlignment="1">
      <alignment/>
    </xf>
    <xf numFmtId="0" fontId="1" fillId="0" borderId="46" xfId="0" applyFont="1" applyBorder="1" applyAlignment="1">
      <alignment/>
    </xf>
    <xf numFmtId="0" fontId="1" fillId="0" borderId="47" xfId="0" applyFont="1" applyBorder="1" applyAlignment="1">
      <alignment/>
    </xf>
    <xf numFmtId="197" fontId="1" fillId="0" borderId="48" xfId="0" applyNumberFormat="1" applyFont="1" applyBorder="1" applyAlignment="1">
      <alignment/>
    </xf>
    <xf numFmtId="197" fontId="1" fillId="0" borderId="49" xfId="0" applyNumberFormat="1" applyFont="1" applyBorder="1" applyAlignment="1">
      <alignment/>
    </xf>
    <xf numFmtId="197" fontId="1" fillId="0" borderId="0" xfId="0" applyNumberFormat="1" applyFont="1" applyAlignment="1">
      <alignment/>
    </xf>
    <xf numFmtId="192" fontId="1" fillId="0" borderId="0" xfId="62" applyNumberFormat="1" applyFont="1" applyAlignment="1">
      <alignment/>
    </xf>
    <xf numFmtId="194" fontId="1" fillId="0" borderId="0" xfId="0" applyNumberFormat="1" applyFont="1" applyAlignment="1">
      <alignment/>
    </xf>
    <xf numFmtId="0" fontId="0" fillId="34" borderId="0" xfId="0" applyFont="1" applyFill="1" applyAlignment="1">
      <alignment/>
    </xf>
    <xf numFmtId="0" fontId="0" fillId="36" borderId="0" xfId="0" applyFont="1" applyFill="1" applyAlignment="1">
      <alignment/>
    </xf>
    <xf numFmtId="0" fontId="0" fillId="0" borderId="0" xfId="0" applyFont="1" applyAlignment="1">
      <alignment horizontal="center"/>
    </xf>
    <xf numFmtId="200" fontId="0" fillId="37" borderId="0" xfId="62" applyNumberFormat="1" applyFont="1" applyFill="1" applyAlignment="1" applyProtection="1">
      <alignment horizontal="center"/>
      <protection locked="0"/>
    </xf>
    <xf numFmtId="200" fontId="0" fillId="0" borderId="0" xfId="0" applyNumberFormat="1" applyFont="1" applyAlignment="1">
      <alignment/>
    </xf>
    <xf numFmtId="200" fontId="0" fillId="0" borderId="0" xfId="62" applyNumberFormat="1" applyFont="1" applyAlignment="1">
      <alignment/>
    </xf>
    <xf numFmtId="200" fontId="0" fillId="0" borderId="0" xfId="62" applyNumberFormat="1" applyFont="1" applyAlignment="1">
      <alignment horizontal="center"/>
    </xf>
    <xf numFmtId="177" fontId="0" fillId="0" borderId="0" xfId="62" applyFont="1" applyAlignment="1">
      <alignment/>
    </xf>
    <xf numFmtId="0" fontId="4" fillId="33" borderId="0" xfId="0" applyFont="1" applyFill="1" applyAlignment="1" applyProtection="1">
      <alignment/>
      <protection locked="0"/>
    </xf>
    <xf numFmtId="0" fontId="0" fillId="0" borderId="0" xfId="0" applyFont="1" applyAlignment="1" applyProtection="1">
      <alignment/>
      <protection locked="0"/>
    </xf>
    <xf numFmtId="0" fontId="4" fillId="0" borderId="0" xfId="0" applyFont="1" applyAlignment="1" quotePrefix="1">
      <alignment horizontal="left"/>
    </xf>
    <xf numFmtId="199" fontId="0" fillId="0" borderId="0" xfId="0" applyNumberFormat="1" applyFont="1" applyAlignment="1">
      <alignment/>
    </xf>
    <xf numFmtId="10" fontId="0" fillId="0" borderId="0" xfId="50" applyNumberFormat="1" applyFont="1" applyAlignment="1">
      <alignment/>
    </xf>
    <xf numFmtId="190" fontId="0" fillId="0" borderId="0" xfId="50" applyNumberFormat="1" applyFont="1" applyAlignment="1">
      <alignment/>
    </xf>
    <xf numFmtId="200" fontId="4" fillId="0" borderId="0" xfId="0" applyNumberFormat="1" applyFont="1" applyAlignment="1">
      <alignment/>
    </xf>
    <xf numFmtId="9" fontId="0" fillId="0" borderId="0" xfId="50" applyFont="1" applyAlignment="1">
      <alignment/>
    </xf>
    <xf numFmtId="200" fontId="0" fillId="0" borderId="0" xfId="50" applyNumberFormat="1" applyFont="1" applyAlignment="1">
      <alignment/>
    </xf>
    <xf numFmtId="0" fontId="1" fillId="0" borderId="50" xfId="0" applyFont="1" applyBorder="1" applyAlignment="1">
      <alignment horizontal="center"/>
    </xf>
    <xf numFmtId="10" fontId="1" fillId="0" borderId="50" xfId="62" applyNumberFormat="1" applyFont="1" applyBorder="1" applyAlignment="1">
      <alignment/>
    </xf>
    <xf numFmtId="10" fontId="1" fillId="0" borderId="50" xfId="50" applyNumberFormat="1" applyFont="1" applyBorder="1" applyAlignment="1">
      <alignment/>
    </xf>
    <xf numFmtId="0" fontId="1" fillId="0" borderId="50" xfId="0" applyFont="1" applyBorder="1" applyAlignment="1">
      <alignment/>
    </xf>
    <xf numFmtId="0" fontId="1" fillId="0" borderId="43" xfId="0" applyFont="1" applyBorder="1" applyAlignment="1">
      <alignment horizontal="center" vertical="center"/>
    </xf>
    <xf numFmtId="0" fontId="1" fillId="0" borderId="51" xfId="0" applyFont="1" applyBorder="1" applyAlignment="1">
      <alignment horizontal="center" vertical="center"/>
    </xf>
    <xf numFmtId="0" fontId="1" fillId="0" borderId="10" xfId="0" applyFont="1" applyBorder="1" applyAlignment="1">
      <alignment horizontal="center" vertical="center"/>
    </xf>
    <xf numFmtId="0" fontId="1" fillId="0" borderId="52" xfId="0" applyFont="1" applyBorder="1" applyAlignment="1">
      <alignment horizontal="center" vertical="center"/>
    </xf>
    <xf numFmtId="177" fontId="1" fillId="0" borderId="50" xfId="0" applyNumberFormat="1" applyFont="1" applyBorder="1" applyAlignment="1">
      <alignment/>
    </xf>
    <xf numFmtId="10" fontId="1" fillId="0" borderId="50" xfId="0" applyNumberFormat="1" applyFont="1" applyBorder="1" applyAlignment="1">
      <alignment/>
    </xf>
    <xf numFmtId="192" fontId="1" fillId="0" borderId="50" xfId="62" applyNumberFormat="1" applyFont="1" applyBorder="1" applyAlignment="1">
      <alignment/>
    </xf>
    <xf numFmtId="177" fontId="3" fillId="0" borderId="33" xfId="62" applyFont="1" applyBorder="1" applyAlignment="1">
      <alignment/>
    </xf>
    <xf numFmtId="0" fontId="6" fillId="0" borderId="28" xfId="0" applyFont="1" applyBorder="1" applyAlignment="1">
      <alignment horizontal="center"/>
    </xf>
    <xf numFmtId="0" fontId="6" fillId="0" borderId="29" xfId="0" applyFont="1" applyBorder="1" applyAlignment="1">
      <alignment horizontal="center"/>
    </xf>
    <xf numFmtId="0" fontId="6" fillId="0" borderId="18" xfId="0" applyFont="1" applyBorder="1" applyAlignment="1">
      <alignment horizontal="left"/>
    </xf>
    <xf numFmtId="0" fontId="6" fillId="0" borderId="24" xfId="0" applyFont="1" applyBorder="1" applyAlignment="1">
      <alignment horizontal="center"/>
    </xf>
    <xf numFmtId="0" fontId="6" fillId="0" borderId="34" xfId="0" applyFont="1" applyBorder="1" applyAlignment="1">
      <alignment horizontal="left" vertical="center"/>
    </xf>
    <xf numFmtId="192" fontId="6" fillId="0" borderId="22" xfId="0" applyNumberFormat="1" applyFont="1" applyBorder="1" applyAlignment="1">
      <alignment horizontal="left" vertical="center"/>
    </xf>
    <xf numFmtId="49" fontId="0" fillId="37" borderId="0" xfId="0" applyNumberFormat="1" applyFill="1" applyAlignment="1" applyProtection="1">
      <alignment horizontal="left"/>
      <protection locked="0"/>
    </xf>
    <xf numFmtId="0" fontId="0" fillId="37" borderId="0" xfId="0" applyFill="1" applyAlignment="1" applyProtection="1" quotePrefix="1">
      <alignment horizontal="left"/>
      <protection locked="0"/>
    </xf>
    <xf numFmtId="0" fontId="4" fillId="0" borderId="0" xfId="0" applyFont="1" applyAlignment="1">
      <alignment horizontal="left"/>
    </xf>
    <xf numFmtId="0" fontId="10" fillId="37" borderId="0" xfId="0" applyFont="1" applyFill="1" applyAlignment="1">
      <alignment/>
    </xf>
    <xf numFmtId="0" fontId="7" fillId="0" borderId="0" xfId="0" applyFont="1" applyAlignment="1">
      <alignment horizontal="left" wrapText="1"/>
    </xf>
    <xf numFmtId="217" fontId="0" fillId="0" borderId="0" xfId="0" applyNumberFormat="1" applyFont="1" applyAlignment="1">
      <alignment/>
    </xf>
    <xf numFmtId="0" fontId="6" fillId="0" borderId="0" xfId="0" applyFont="1" applyAlignment="1" quotePrefix="1">
      <alignment horizontal="justify" vertical="justify" wrapText="1"/>
    </xf>
    <xf numFmtId="0" fontId="6" fillId="0" borderId="0" xfId="0" applyFont="1" applyAlignment="1">
      <alignment horizontal="justify" vertical="justify" wrapText="1"/>
    </xf>
    <xf numFmtId="0" fontId="11" fillId="0" borderId="0" xfId="0" applyFont="1" applyAlignment="1">
      <alignment/>
    </xf>
    <xf numFmtId="0" fontId="0" fillId="0" borderId="0" xfId="0" applyFont="1" applyAlignment="1" quotePrefix="1">
      <alignment horizontal="left"/>
    </xf>
    <xf numFmtId="0" fontId="1" fillId="0" borderId="11" xfId="0" applyFont="1" applyBorder="1" applyAlignment="1" quotePrefix="1">
      <alignment horizontal="left"/>
    </xf>
    <xf numFmtId="0" fontId="6" fillId="0" borderId="11" xfId="0" applyFont="1" applyBorder="1" applyAlignment="1" quotePrefix="1">
      <alignment horizontal="left"/>
    </xf>
    <xf numFmtId="0" fontId="0" fillId="0" borderId="0" xfId="0" applyFont="1" applyAlignment="1">
      <alignment horizontal="left"/>
    </xf>
    <xf numFmtId="0" fontId="1" fillId="38" borderId="11" xfId="0" applyFont="1" applyFill="1" applyBorder="1" applyAlignment="1" quotePrefix="1">
      <alignment horizontal="left"/>
    </xf>
    <xf numFmtId="10" fontId="1" fillId="38" borderId="10" xfId="62" applyNumberFormat="1" applyFont="1" applyFill="1" applyBorder="1" applyAlignment="1">
      <alignment/>
    </xf>
    <xf numFmtId="177" fontId="1" fillId="38" borderId="10" xfId="62" applyFont="1" applyFill="1" applyBorder="1" applyAlignment="1">
      <alignment/>
    </xf>
    <xf numFmtId="10" fontId="1" fillId="38" borderId="50" xfId="62" applyNumberFormat="1" applyFont="1" applyFill="1" applyBorder="1" applyAlignment="1">
      <alignment/>
    </xf>
    <xf numFmtId="177" fontId="1" fillId="38" borderId="25" xfId="62" applyFont="1" applyFill="1" applyBorder="1" applyAlignment="1">
      <alignment/>
    </xf>
    <xf numFmtId="10" fontId="1" fillId="38" borderId="10" xfId="50" applyNumberFormat="1" applyFont="1" applyFill="1" applyBorder="1" applyAlignment="1">
      <alignment/>
    </xf>
    <xf numFmtId="192" fontId="1" fillId="38" borderId="10" xfId="62" applyNumberFormat="1" applyFont="1" applyFill="1" applyBorder="1" applyAlignment="1">
      <alignment/>
    </xf>
    <xf numFmtId="10" fontId="1" fillId="38" borderId="50" xfId="50" applyNumberFormat="1" applyFont="1" applyFill="1" applyBorder="1" applyAlignment="1">
      <alignment/>
    </xf>
    <xf numFmtId="192" fontId="1" fillId="38" borderId="25" xfId="62" applyNumberFormat="1" applyFont="1" applyFill="1" applyBorder="1" applyAlignment="1">
      <alignment/>
    </xf>
    <xf numFmtId="10" fontId="1" fillId="38" borderId="50" xfId="0" applyNumberFormat="1" applyFont="1" applyFill="1" applyBorder="1" applyAlignment="1">
      <alignment/>
    </xf>
    <xf numFmtId="177" fontId="1" fillId="38" borderId="50" xfId="0" applyNumberFormat="1" applyFont="1" applyFill="1" applyBorder="1" applyAlignment="1">
      <alignment/>
    </xf>
    <xf numFmtId="177" fontId="1" fillId="38" borderId="25" xfId="0" applyNumberFormat="1" applyFont="1" applyFill="1" applyBorder="1" applyAlignment="1">
      <alignment/>
    </xf>
    <xf numFmtId="192" fontId="1" fillId="38" borderId="50" xfId="62" applyNumberFormat="1" applyFont="1" applyFill="1" applyBorder="1" applyAlignment="1">
      <alignment/>
    </xf>
    <xf numFmtId="0" fontId="0" fillId="0" borderId="53" xfId="0" applyBorder="1" applyAlignment="1">
      <alignment/>
    </xf>
    <xf numFmtId="0" fontId="14" fillId="0" borderId="0" xfId="0" applyFont="1" applyAlignment="1" quotePrefix="1">
      <alignment horizontal="left"/>
    </xf>
    <xf numFmtId="10" fontId="14" fillId="0" borderId="0" xfId="62" applyNumberFormat="1" applyFont="1" applyAlignment="1">
      <alignment/>
    </xf>
    <xf numFmtId="177" fontId="14" fillId="0" borderId="0" xfId="62" applyFont="1" applyAlignment="1">
      <alignment/>
    </xf>
    <xf numFmtId="192" fontId="14" fillId="0" borderId="0" xfId="62" applyNumberFormat="1" applyFont="1" applyAlignment="1">
      <alignment/>
    </xf>
    <xf numFmtId="0" fontId="6" fillId="0" borderId="0" xfId="0" applyFont="1" applyAlignment="1" quotePrefix="1">
      <alignment horizontal="justify" wrapText="1"/>
    </xf>
    <xf numFmtId="0" fontId="6" fillId="0" borderId="54" xfId="0" applyFont="1" applyBorder="1" applyAlignment="1">
      <alignment/>
    </xf>
    <xf numFmtId="10" fontId="6" fillId="0" borderId="40" xfId="50" applyNumberFormat="1" applyFont="1" applyBorder="1" applyAlignment="1">
      <alignment/>
    </xf>
    <xf numFmtId="192" fontId="6" fillId="0" borderId="40" xfId="62" applyNumberFormat="1" applyFont="1" applyBorder="1" applyAlignment="1">
      <alignment/>
    </xf>
    <xf numFmtId="192" fontId="6" fillId="0" borderId="55" xfId="62" applyNumberFormat="1" applyFont="1" applyBorder="1" applyAlignment="1">
      <alignment/>
    </xf>
    <xf numFmtId="0" fontId="15" fillId="0" borderId="0" xfId="0" applyFont="1" applyAlignment="1" applyProtection="1">
      <alignment/>
      <protection locked="0"/>
    </xf>
    <xf numFmtId="0" fontId="4" fillId="37" borderId="0" xfId="0" applyFont="1" applyFill="1" applyAlignment="1" applyProtection="1" quotePrefix="1">
      <alignment horizontal="left"/>
      <protection locked="0"/>
    </xf>
    <xf numFmtId="177" fontId="1" fillId="38" borderId="10" xfId="50" applyNumberFormat="1" applyFont="1" applyFill="1" applyBorder="1" applyAlignment="1">
      <alignment/>
    </xf>
    <xf numFmtId="0" fontId="4" fillId="39" borderId="10" xfId="0" applyFont="1" applyFill="1" applyBorder="1" applyAlignment="1">
      <alignment horizontal="right"/>
    </xf>
    <xf numFmtId="177" fontId="0" fillId="0" borderId="0" xfId="0" applyNumberFormat="1" applyAlignment="1">
      <alignment/>
    </xf>
    <xf numFmtId="10" fontId="1" fillId="0" borderId="10" xfId="0" applyNumberFormat="1" applyFont="1" applyBorder="1" applyAlignment="1">
      <alignment/>
    </xf>
    <xf numFmtId="177" fontId="1" fillId="0" borderId="10" xfId="0" applyNumberFormat="1" applyFont="1" applyBorder="1" applyAlignment="1">
      <alignment/>
    </xf>
    <xf numFmtId="0" fontId="1" fillId="0" borderId="56" xfId="0" applyFont="1" applyBorder="1" applyAlignment="1" quotePrefix="1">
      <alignment horizontal="left"/>
    </xf>
    <xf numFmtId="177" fontId="1" fillId="0" borderId="43" xfId="50" applyNumberFormat="1" applyFont="1" applyBorder="1" applyAlignment="1">
      <alignment/>
    </xf>
    <xf numFmtId="177" fontId="1" fillId="0" borderId="43" xfId="62" applyFont="1" applyBorder="1" applyAlignment="1">
      <alignment/>
    </xf>
    <xf numFmtId="177" fontId="1" fillId="0" borderId="43" xfId="62" applyFont="1" applyBorder="1" applyAlignment="1" applyProtection="1">
      <alignment/>
      <protection locked="0"/>
    </xf>
    <xf numFmtId="177" fontId="1" fillId="0" borderId="51" xfId="0" applyNumberFormat="1" applyFont="1" applyBorder="1" applyAlignment="1">
      <alignment/>
    </xf>
    <xf numFmtId="10" fontId="1" fillId="38" borderId="31" xfId="0" applyNumberFormat="1" applyFont="1" applyFill="1" applyBorder="1" applyAlignment="1">
      <alignment/>
    </xf>
    <xf numFmtId="177" fontId="1" fillId="38" borderId="31" xfId="0" applyNumberFormat="1" applyFont="1" applyFill="1" applyBorder="1" applyAlignment="1">
      <alignment/>
    </xf>
    <xf numFmtId="10" fontId="1" fillId="38" borderId="31" xfId="50" applyNumberFormat="1" applyFont="1" applyFill="1" applyBorder="1" applyAlignment="1">
      <alignment/>
    </xf>
    <xf numFmtId="177" fontId="1" fillId="38" borderId="32" xfId="0" applyNumberFormat="1" applyFont="1" applyFill="1" applyBorder="1" applyAlignment="1">
      <alignment/>
    </xf>
    <xf numFmtId="10" fontId="1" fillId="38" borderId="31" xfId="62" applyNumberFormat="1" applyFont="1" applyFill="1" applyBorder="1" applyAlignment="1">
      <alignment/>
    </xf>
    <xf numFmtId="177" fontId="1" fillId="38" borderId="31" xfId="62" applyFont="1" applyFill="1" applyBorder="1" applyAlignment="1">
      <alignment/>
    </xf>
    <xf numFmtId="177" fontId="1" fillId="38" borderId="32" xfId="62" applyFont="1" applyFill="1" applyBorder="1" applyAlignment="1">
      <alignment/>
    </xf>
    <xf numFmtId="17" fontId="11" fillId="0" borderId="0" xfId="0" applyNumberFormat="1" applyFont="1" applyAlignment="1" quotePrefix="1">
      <alignment/>
    </xf>
    <xf numFmtId="17" fontId="11" fillId="0" borderId="0" xfId="0" applyNumberFormat="1" applyFont="1" applyAlignment="1">
      <alignment/>
    </xf>
    <xf numFmtId="0" fontId="0" fillId="37" borderId="0" xfId="0" applyFill="1" applyAlignment="1" applyProtection="1" quotePrefix="1">
      <alignment/>
      <protection locked="0"/>
    </xf>
    <xf numFmtId="0" fontId="0" fillId="37" borderId="0" xfId="0" applyFill="1" applyAlignment="1" applyProtection="1">
      <alignment/>
      <protection locked="0"/>
    </xf>
    <xf numFmtId="49" fontId="0" fillId="37" borderId="0" xfId="0" applyNumberFormat="1" applyFont="1" applyFill="1" applyAlignment="1" applyProtection="1">
      <alignment horizontal="left"/>
      <protection locked="0"/>
    </xf>
    <xf numFmtId="200" fontId="0" fillId="34" borderId="0" xfId="62" applyNumberFormat="1" applyFont="1" applyFill="1" applyAlignment="1">
      <alignment/>
    </xf>
    <xf numFmtId="217" fontId="0" fillId="0" borderId="0" xfId="62" applyNumberFormat="1" applyFont="1" applyAlignment="1">
      <alignment/>
    </xf>
    <xf numFmtId="192" fontId="1" fillId="0" borderId="31" xfId="62" applyNumberFormat="1" applyFont="1" applyBorder="1" applyAlignment="1">
      <alignment/>
    </xf>
    <xf numFmtId="192" fontId="1" fillId="0" borderId="43" xfId="62" applyNumberFormat="1" applyFont="1" applyBorder="1" applyAlignment="1">
      <alignment/>
    </xf>
    <xf numFmtId="0" fontId="0" fillId="37" borderId="0" xfId="0" applyFont="1" applyFill="1" applyAlignment="1" applyProtection="1">
      <alignment horizontal="left"/>
      <protection locked="0"/>
    </xf>
    <xf numFmtId="49" fontId="0" fillId="37" borderId="0" xfId="0" applyNumberFormat="1" applyFont="1" applyFill="1" applyAlignment="1" applyProtection="1" quotePrefix="1">
      <alignment horizontal="left"/>
      <protection locked="0"/>
    </xf>
    <xf numFmtId="217" fontId="16" fillId="0" borderId="0" xfId="62" applyNumberFormat="1" applyFont="1" applyAlignment="1">
      <alignment/>
    </xf>
    <xf numFmtId="177" fontId="1" fillId="38" borderId="43" xfId="50" applyNumberFormat="1" applyFont="1" applyFill="1" applyBorder="1" applyAlignment="1">
      <alignment/>
    </xf>
    <xf numFmtId="177" fontId="1" fillId="38" borderId="43" xfId="62" applyFont="1" applyFill="1" applyBorder="1" applyAlignment="1">
      <alignment/>
    </xf>
    <xf numFmtId="177" fontId="1" fillId="38" borderId="51" xfId="0" applyNumberFormat="1" applyFont="1" applyFill="1" applyBorder="1" applyAlignment="1">
      <alignment/>
    </xf>
    <xf numFmtId="200" fontId="1" fillId="0" borderId="0" xfId="0" applyNumberFormat="1" applyFont="1" applyAlignment="1">
      <alignment/>
    </xf>
    <xf numFmtId="200" fontId="0" fillId="40" borderId="0" xfId="62" applyNumberFormat="1" applyFont="1" applyFill="1" applyAlignment="1" applyProtection="1">
      <alignment horizontal="center"/>
      <protection locked="0"/>
    </xf>
    <xf numFmtId="0" fontId="53" fillId="0" borderId="0" xfId="0" applyFont="1" applyAlignment="1">
      <alignment/>
    </xf>
    <xf numFmtId="0" fontId="54" fillId="0" borderId="0" xfId="0" applyFont="1" applyAlignment="1">
      <alignment/>
    </xf>
    <xf numFmtId="197" fontId="54" fillId="0" borderId="0" xfId="0" applyNumberFormat="1" applyFont="1" applyAlignment="1">
      <alignment/>
    </xf>
    <xf numFmtId="216" fontId="54" fillId="0" borderId="0" xfId="0" applyNumberFormat="1" applyFont="1" applyAlignment="1">
      <alignment/>
    </xf>
    <xf numFmtId="177" fontId="54" fillId="0" borderId="0" xfId="0" applyNumberFormat="1" applyFont="1" applyAlignment="1">
      <alignment/>
    </xf>
    <xf numFmtId="177" fontId="0" fillId="0" borderId="0" xfId="0" applyNumberFormat="1" applyFont="1" applyAlignment="1">
      <alignment/>
    </xf>
    <xf numFmtId="200" fontId="55" fillId="37" borderId="0" xfId="62" applyNumberFormat="1" applyFont="1" applyFill="1" applyAlignment="1" applyProtection="1">
      <alignment horizontal="center"/>
      <protection locked="0"/>
    </xf>
    <xf numFmtId="0" fontId="53" fillId="0" borderId="0" xfId="0" applyFont="1" applyAlignment="1">
      <alignment/>
    </xf>
    <xf numFmtId="0" fontId="54" fillId="0" borderId="0" xfId="0" applyFont="1" applyAlignment="1">
      <alignment/>
    </xf>
    <xf numFmtId="197" fontId="54" fillId="0" borderId="0" xfId="0" applyNumberFormat="1" applyFont="1" applyAlignment="1">
      <alignment/>
    </xf>
    <xf numFmtId="216" fontId="54" fillId="0" borderId="0" xfId="0" applyNumberFormat="1" applyFont="1" applyAlignment="1">
      <alignment/>
    </xf>
    <xf numFmtId="0" fontId="56" fillId="0" borderId="23" xfId="0" applyFont="1" applyBorder="1" applyAlignment="1">
      <alignment horizontal="center"/>
    </xf>
    <xf numFmtId="177" fontId="56" fillId="0" borderId="10" xfId="62" applyFont="1" applyBorder="1" applyAlignment="1" applyProtection="1">
      <alignment/>
      <protection locked="0"/>
    </xf>
    <xf numFmtId="177" fontId="56" fillId="0" borderId="10" xfId="62" applyFont="1" applyBorder="1" applyAlignment="1">
      <alignment/>
    </xf>
    <xf numFmtId="177" fontId="56" fillId="0" borderId="43" xfId="62" applyFont="1" applyBorder="1" applyAlignment="1">
      <alignment/>
    </xf>
    <xf numFmtId="177" fontId="56" fillId="38" borderId="10" xfId="62" applyFont="1" applyFill="1" applyBorder="1" applyAlignment="1">
      <alignment/>
    </xf>
    <xf numFmtId="177" fontId="56" fillId="0" borderId="0" xfId="62" applyFont="1" applyAlignment="1">
      <alignment/>
    </xf>
    <xf numFmtId="0" fontId="56" fillId="0" borderId="0" xfId="0" applyFont="1" applyAlignment="1">
      <alignment/>
    </xf>
    <xf numFmtId="192" fontId="56" fillId="0" borderId="10" xfId="62" applyNumberFormat="1" applyFont="1" applyBorder="1" applyAlignment="1">
      <alignment/>
    </xf>
    <xf numFmtId="194" fontId="56" fillId="0" borderId="35" xfId="0" applyNumberFormat="1" applyFont="1" applyBorder="1" applyAlignment="1">
      <alignment/>
    </xf>
    <xf numFmtId="192" fontId="56" fillId="38" borderId="10" xfId="62" applyNumberFormat="1" applyFont="1" applyFill="1" applyBorder="1" applyAlignment="1">
      <alignment/>
    </xf>
    <xf numFmtId="0" fontId="56" fillId="0" borderId="57" xfId="0" applyFont="1" applyBorder="1" applyAlignment="1">
      <alignment/>
    </xf>
    <xf numFmtId="197" fontId="56" fillId="0" borderId="10" xfId="0" applyNumberFormat="1" applyFont="1" applyBorder="1" applyAlignment="1">
      <alignment/>
    </xf>
    <xf numFmtId="197" fontId="56" fillId="0" borderId="48" xfId="0" applyNumberFormat="1" applyFont="1" applyBorder="1" applyAlignment="1">
      <alignment/>
    </xf>
    <xf numFmtId="217" fontId="11" fillId="0" borderId="0" xfId="62" applyNumberFormat="1" applyFont="1" applyAlignment="1">
      <alignment/>
    </xf>
    <xf numFmtId="0" fontId="1" fillId="0" borderId="58" xfId="0" applyFont="1" applyBorder="1" applyAlignment="1">
      <alignment horizontal="center" vertical="center"/>
    </xf>
    <xf numFmtId="0" fontId="1" fillId="0" borderId="56" xfId="0" applyFont="1" applyBorder="1" applyAlignment="1">
      <alignment horizontal="center" vertical="center"/>
    </xf>
    <xf numFmtId="192" fontId="1" fillId="0" borderId="31" xfId="0" applyNumberFormat="1" applyFont="1" applyBorder="1" applyAlignment="1">
      <alignment horizontal="center"/>
    </xf>
    <xf numFmtId="192" fontId="1" fillId="0" borderId="32" xfId="0" applyNumberFormat="1" applyFont="1" applyBorder="1" applyAlignment="1">
      <alignment horizontal="center"/>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29" xfId="0" applyFont="1" applyBorder="1" applyAlignment="1">
      <alignment horizontal="center" vertical="center"/>
    </xf>
    <xf numFmtId="0" fontId="3" fillId="0" borderId="59" xfId="0" applyFont="1" applyBorder="1" applyAlignment="1">
      <alignment horizontal="center"/>
    </xf>
    <xf numFmtId="0" fontId="3" fillId="0" borderId="60" xfId="0" applyFont="1" applyBorder="1" applyAlignment="1">
      <alignment horizontal="center"/>
    </xf>
    <xf numFmtId="0" fontId="3" fillId="35" borderId="41" xfId="0" applyFont="1" applyFill="1" applyBorder="1" applyAlignment="1">
      <alignment horizontal="center"/>
    </xf>
    <xf numFmtId="0" fontId="3" fillId="35" borderId="61" xfId="0" applyFont="1" applyFill="1" applyBorder="1" applyAlignment="1">
      <alignment horizontal="center"/>
    </xf>
    <xf numFmtId="0" fontId="3" fillId="35" borderId="42" xfId="0" applyFont="1" applyFill="1" applyBorder="1" applyAlignment="1">
      <alignment horizontal="center"/>
    </xf>
    <xf numFmtId="0" fontId="3" fillId="35" borderId="13" xfId="0" applyFont="1" applyFill="1" applyBorder="1" applyAlignment="1" quotePrefix="1">
      <alignment horizontal="center"/>
    </xf>
    <xf numFmtId="0" fontId="3" fillId="35" borderId="0" xfId="0" applyFont="1" applyFill="1" applyAlignment="1">
      <alignment horizontal="center"/>
    </xf>
    <xf numFmtId="0" fontId="3" fillId="35" borderId="44" xfId="0" applyFont="1" applyFill="1" applyBorder="1" applyAlignment="1">
      <alignment horizontal="center"/>
    </xf>
    <xf numFmtId="0" fontId="3" fillId="35" borderId="62" xfId="0" applyFont="1" applyFill="1" applyBorder="1" applyAlignment="1">
      <alignment horizontal="center"/>
    </xf>
    <xf numFmtId="0" fontId="3" fillId="35" borderId="63" xfId="0" applyFont="1" applyFill="1" applyBorder="1" applyAlignment="1">
      <alignment horizontal="center"/>
    </xf>
    <xf numFmtId="0" fontId="3" fillId="35" borderId="52" xfId="0" applyFont="1" applyFill="1" applyBorder="1" applyAlignment="1">
      <alignment horizontal="center"/>
    </xf>
    <xf numFmtId="0" fontId="1" fillId="0" borderId="30" xfId="0" applyFont="1" applyBorder="1" applyAlignment="1">
      <alignment horizontal="center"/>
    </xf>
    <xf numFmtId="0" fontId="1" fillId="0" borderId="24" xfId="0" applyFont="1" applyBorder="1" applyAlignment="1">
      <alignment horizontal="center"/>
    </xf>
    <xf numFmtId="194" fontId="1" fillId="0" borderId="31" xfId="0" applyNumberFormat="1" applyFont="1" applyBorder="1" applyAlignment="1">
      <alignment horizontal="center" vertical="center"/>
    </xf>
    <xf numFmtId="194" fontId="1" fillId="0" borderId="32" xfId="0" applyNumberFormat="1" applyFont="1" applyBorder="1" applyAlignment="1">
      <alignment horizontal="center" vertical="center"/>
    </xf>
    <xf numFmtId="0" fontId="2" fillId="0" borderId="13" xfId="0" applyFont="1" applyBorder="1" applyAlignment="1">
      <alignment horizontal="center"/>
    </xf>
    <xf numFmtId="0" fontId="2" fillId="0" borderId="0" xfId="0" applyFont="1" applyAlignment="1">
      <alignment horizontal="center"/>
    </xf>
    <xf numFmtId="0" fontId="3" fillId="0" borderId="0" xfId="0" applyFont="1" applyAlignment="1" quotePrefix="1">
      <alignment horizontal="center"/>
    </xf>
    <xf numFmtId="0" fontId="1" fillId="0" borderId="18" xfId="0" applyFont="1" applyBorder="1" applyAlignment="1">
      <alignment horizontal="center" vertical="center"/>
    </xf>
    <xf numFmtId="0" fontId="1" fillId="0" borderId="11" xfId="0" applyFont="1" applyBorder="1" applyAlignment="1">
      <alignment horizontal="center" vertical="center"/>
    </xf>
    <xf numFmtId="0" fontId="1" fillId="0" borderId="23" xfId="0" applyFont="1" applyBorder="1" applyAlignment="1">
      <alignment horizontal="center"/>
    </xf>
    <xf numFmtId="0" fontId="4" fillId="38" borderId="0" xfId="0" applyFont="1" applyFill="1" applyAlignment="1">
      <alignment horizontal="center"/>
    </xf>
    <xf numFmtId="0" fontId="6" fillId="0" borderId="0" xfId="0" applyFont="1" applyAlignment="1" quotePrefix="1">
      <alignment horizontal="justify" wrapText="1"/>
    </xf>
    <xf numFmtId="0" fontId="6" fillId="0" borderId="0" xfId="0" applyFont="1" applyAlignment="1">
      <alignment horizontal="justify" wrapText="1"/>
    </xf>
    <xf numFmtId="0" fontId="6" fillId="0" borderId="0" xfId="0" applyFont="1" applyAlignment="1">
      <alignment horizontal="center"/>
    </xf>
    <xf numFmtId="0" fontId="6" fillId="0" borderId="0" xfId="0" applyFont="1" applyAlignment="1" quotePrefix="1">
      <alignment horizontal="center"/>
    </xf>
    <xf numFmtId="0" fontId="4" fillId="0" borderId="33" xfId="0" applyFont="1" applyBorder="1" applyAlignment="1">
      <alignment horizontal="left"/>
    </xf>
    <xf numFmtId="0" fontId="4" fillId="0" borderId="0" xfId="0" applyFont="1" applyAlignment="1" quotePrefix="1">
      <alignment horizontal="center"/>
    </xf>
    <xf numFmtId="0" fontId="4" fillId="0" borderId="0" xfId="0" applyFont="1" applyAlignment="1">
      <alignment horizontal="center"/>
    </xf>
    <xf numFmtId="0" fontId="0" fillId="0" borderId="33" xfId="0" applyFont="1" applyBorder="1" applyAlignment="1">
      <alignment horizontal="center"/>
    </xf>
    <xf numFmtId="0" fontId="4" fillId="0" borderId="33" xfId="0" applyFont="1" applyBorder="1" applyAlignment="1" quotePrefix="1">
      <alignment horizontal="left"/>
    </xf>
    <xf numFmtId="0" fontId="4" fillId="0" borderId="46" xfId="0" applyFont="1" applyBorder="1" applyAlignment="1">
      <alignment horizontal="left"/>
    </xf>
    <xf numFmtId="0" fontId="0" fillId="37" borderId="0" xfId="0" applyFill="1" applyAlignment="1" applyProtection="1" quotePrefix="1">
      <alignment horizontal="left"/>
      <protection locked="0"/>
    </xf>
    <xf numFmtId="0" fontId="4" fillId="0" borderId="0" xfId="0" applyFont="1" applyAlignment="1">
      <alignment horizontal="left"/>
    </xf>
    <xf numFmtId="0" fontId="0" fillId="37" borderId="0" xfId="0" applyFont="1" applyFill="1" applyAlignment="1" applyProtection="1">
      <alignment horizontal="left"/>
      <protection locked="0"/>
    </xf>
    <xf numFmtId="0" fontId="0" fillId="37" borderId="0" xfId="0" applyFill="1" applyAlignment="1" applyProtection="1">
      <alignment horizontal="left"/>
      <protection locked="0"/>
    </xf>
    <xf numFmtId="49" fontId="0" fillId="37" borderId="0" xfId="0" applyNumberFormat="1" applyFont="1" applyFill="1" applyAlignment="1" applyProtection="1" quotePrefix="1">
      <alignment horizontal="left"/>
      <protection locked="0"/>
    </xf>
    <xf numFmtId="0" fontId="8" fillId="0" borderId="0" xfId="0" applyFont="1" applyAlignment="1" quotePrefix="1">
      <alignment horizontal="left"/>
    </xf>
    <xf numFmtId="0" fontId="3" fillId="0" borderId="0" xfId="0" applyFont="1" applyAlignment="1">
      <alignment horizontal="center"/>
    </xf>
    <xf numFmtId="0" fontId="6" fillId="0" borderId="0" xfId="0" applyFont="1" applyAlignment="1" quotePrefix="1">
      <alignment horizontal="justify" vertical="justify" wrapText="1"/>
    </xf>
    <xf numFmtId="0" fontId="4" fillId="0" borderId="46" xfId="0" applyFont="1" applyBorder="1" applyAlignment="1">
      <alignment horizontal="center"/>
    </xf>
    <xf numFmtId="0" fontId="6" fillId="0" borderId="28" xfId="0" applyFont="1" applyBorder="1" applyAlignment="1">
      <alignment horizontal="center"/>
    </xf>
    <xf numFmtId="0" fontId="6" fillId="0" borderId="30" xfId="0" applyFont="1" applyBorder="1" applyAlignment="1">
      <alignment horizontal="center"/>
    </xf>
    <xf numFmtId="0" fontId="6" fillId="0" borderId="29" xfId="0" applyFont="1" applyBorder="1" applyAlignment="1">
      <alignment horizontal="center"/>
    </xf>
    <xf numFmtId="0" fontId="0" fillId="0" borderId="0" xfId="0" applyAlignment="1">
      <alignment horizontal="center"/>
    </xf>
    <xf numFmtId="0" fontId="0" fillId="0" borderId="0" xfId="0" applyFont="1" applyAlignment="1">
      <alignment horizontal="center"/>
    </xf>
    <xf numFmtId="0" fontId="6" fillId="0" borderId="18" xfId="0" applyFont="1" applyBorder="1" applyAlignment="1">
      <alignment horizontal="center" vertical="center"/>
    </xf>
    <xf numFmtId="0" fontId="6" fillId="0" borderId="11" xfId="0" applyFont="1" applyBorder="1" applyAlignment="1">
      <alignment horizontal="center" vertical="center"/>
    </xf>
    <xf numFmtId="194" fontId="6" fillId="0" borderId="41" xfId="0" applyNumberFormat="1" applyFont="1" applyBorder="1" applyAlignment="1">
      <alignment horizontal="center" vertical="center"/>
    </xf>
    <xf numFmtId="194" fontId="6" fillId="0" borderId="64" xfId="0" applyNumberFormat="1" applyFont="1" applyBorder="1" applyAlignment="1">
      <alignment horizontal="center" vertical="center"/>
    </xf>
    <xf numFmtId="194" fontId="6" fillId="0" borderId="48" xfId="0" applyNumberFormat="1" applyFont="1" applyBorder="1" applyAlignment="1">
      <alignment horizontal="center" vertical="center"/>
    </xf>
    <xf numFmtId="194" fontId="6" fillId="0" borderId="65" xfId="0" applyNumberFormat="1" applyFont="1" applyBorder="1" applyAlignment="1">
      <alignment horizontal="center" vertical="center"/>
    </xf>
    <xf numFmtId="0" fontId="6" fillId="0" borderId="54" xfId="0" applyFont="1" applyBorder="1" applyAlignment="1">
      <alignment horizontal="left" vertical="center"/>
    </xf>
    <xf numFmtId="0" fontId="6" fillId="0" borderId="66" xfId="0" applyFont="1" applyBorder="1" applyAlignment="1">
      <alignment horizontal="left" vertical="center"/>
    </xf>
    <xf numFmtId="194" fontId="6" fillId="0" borderId="42" xfId="0" applyNumberFormat="1" applyFont="1" applyBorder="1" applyAlignment="1">
      <alignment horizontal="center" vertical="center"/>
    </xf>
    <xf numFmtId="194" fontId="6" fillId="0" borderId="47" xfId="0" applyNumberFormat="1" applyFont="1" applyBorder="1" applyAlignment="1">
      <alignment horizontal="center" vertical="center"/>
    </xf>
    <xf numFmtId="0" fontId="6" fillId="0" borderId="58" xfId="0" applyFont="1" applyBorder="1" applyAlignment="1">
      <alignment horizontal="left" vertical="center"/>
    </xf>
    <xf numFmtId="194" fontId="6" fillId="0" borderId="57" xfId="0" applyNumberFormat="1" applyFont="1" applyBorder="1" applyAlignment="1">
      <alignment horizontal="center" vertical="center"/>
    </xf>
    <xf numFmtId="194" fontId="6" fillId="0" borderId="38" xfId="0" applyNumberFormat="1" applyFont="1" applyBorder="1" applyAlignment="1">
      <alignment horizontal="center" vertical="center"/>
    </xf>
    <xf numFmtId="0" fontId="4" fillId="0" borderId="0" xfId="0" applyFont="1" applyAlignment="1" quotePrefix="1">
      <alignment horizontal="left"/>
    </xf>
    <xf numFmtId="0" fontId="6" fillId="0" borderId="0" xfId="0" applyFont="1" applyAlignment="1">
      <alignment horizontal="justify" vertical="justify" wrapText="1"/>
    </xf>
    <xf numFmtId="194" fontId="6" fillId="0" borderId="39" xfId="0" applyNumberFormat="1" applyFont="1" applyBorder="1" applyAlignment="1">
      <alignment horizontal="center" vertical="center"/>
    </xf>
    <xf numFmtId="49" fontId="0" fillId="37" borderId="0" xfId="0" applyNumberFormat="1" applyFill="1" applyAlignment="1" applyProtection="1" quotePrefix="1">
      <alignment horizontal="left"/>
      <protection locked="0"/>
    </xf>
    <xf numFmtId="10" fontId="14" fillId="0" borderId="0" xfId="62" applyNumberFormat="1" applyFont="1" applyBorder="1" applyAlignment="1">
      <alignment/>
    </xf>
    <xf numFmtId="177" fontId="14" fillId="0" borderId="0" xfId="62" applyFont="1" applyBorder="1" applyAlignment="1">
      <alignment/>
    </xf>
    <xf numFmtId="177" fontId="1" fillId="0" borderId="0" xfId="62" applyFont="1" applyBorder="1" applyAlignment="1">
      <alignment/>
    </xf>
    <xf numFmtId="192" fontId="14" fillId="0" borderId="0" xfId="62" applyNumberFormat="1" applyFont="1" applyBorder="1" applyAlignment="1">
      <alignment/>
    </xf>
    <xf numFmtId="10" fontId="6" fillId="0" borderId="31" xfId="50" applyNumberFormat="1" applyFont="1" applyBorder="1" applyAlignment="1">
      <alignment horizontal="right"/>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ojeto%20Cana%20-%20Precos%20-%20Jul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S "/>
      <sheetName val="PROD."/>
      <sheetName val="PREÇOS"/>
      <sheetName val="CANA"/>
      <sheetName val="ATR"/>
      <sheetName val="MIX"/>
      <sheetName val="MIX-1"/>
      <sheetName val="VOLUMES"/>
      <sheetName val="RES"/>
      <sheetName val="RES-I"/>
      <sheetName val="RES-F"/>
      <sheetName val="Plan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29"/>
  <sheetViews>
    <sheetView zoomScale="80" zoomScaleNormal="80" zoomScalePageLayoutView="0" workbookViewId="0" topLeftCell="A1">
      <selection activeCell="O14" sqref="O14"/>
    </sheetView>
  </sheetViews>
  <sheetFormatPr defaultColWidth="9.140625" defaultRowHeight="12.75"/>
  <cols>
    <col min="1" max="1" width="18.8515625" style="5" customWidth="1"/>
    <col min="2" max="2" width="3.57421875" style="40" customWidth="1"/>
    <col min="3" max="3" width="9.140625" style="1" customWidth="1"/>
    <col min="4" max="4" width="13.140625" style="1" bestFit="1" customWidth="1"/>
    <col min="5" max="5" width="11.140625" style="1" customWidth="1"/>
    <col min="6" max="6" width="13.140625" style="1" bestFit="1" customWidth="1"/>
    <col min="7" max="7" width="8.00390625" style="1" bestFit="1" customWidth="1"/>
    <col min="8" max="9" width="9.140625" style="1" customWidth="1"/>
    <col min="10" max="10" width="10.00390625" style="1" bestFit="1" customWidth="1"/>
    <col min="11" max="11" width="2.140625" style="1" customWidth="1"/>
    <col min="12" max="12" width="9.140625" style="1" bestFit="1" customWidth="1"/>
    <col min="13" max="13" width="3.8515625" style="1" customWidth="1"/>
    <col min="14" max="14" width="6.140625" style="1" customWidth="1"/>
    <col min="15" max="15" width="19.00390625" style="1" customWidth="1"/>
    <col min="16" max="16" width="4.00390625" style="1" customWidth="1"/>
    <col min="17" max="17" width="3.8515625" style="1" customWidth="1"/>
    <col min="18" max="19" width="4.57421875" style="1" customWidth="1"/>
    <col min="20" max="20" width="5.140625" style="1" customWidth="1"/>
    <col min="21" max="16384" width="9.140625" style="1" customWidth="1"/>
  </cols>
  <sheetData>
    <row r="1" ht="15">
      <c r="N1" s="5" t="s">
        <v>82</v>
      </c>
    </row>
    <row r="2" spans="9:15" ht="15.75" thickBot="1">
      <c r="I2" s="5" t="s">
        <v>4</v>
      </c>
      <c r="J2" s="3"/>
      <c r="K2" s="2"/>
      <c r="L2" s="2"/>
      <c r="N2" s="46">
        <v>4</v>
      </c>
      <c r="O2" s="77" t="s">
        <v>182</v>
      </c>
    </row>
    <row r="3" spans="9:15" ht="15">
      <c r="I3" s="41" t="s">
        <v>1</v>
      </c>
      <c r="J3" s="42">
        <v>1.0495</v>
      </c>
      <c r="K3" s="43"/>
      <c r="L3" s="44">
        <v>0.595</v>
      </c>
      <c r="N3" s="46">
        <f>N2+1</f>
        <v>5</v>
      </c>
      <c r="O3" s="77" t="s">
        <v>183</v>
      </c>
    </row>
    <row r="4" spans="5:15" ht="15">
      <c r="E4" s="39"/>
      <c r="I4" s="12" t="s">
        <v>2</v>
      </c>
      <c r="J4" s="223">
        <v>1.0453</v>
      </c>
      <c r="K4" s="10"/>
      <c r="L4" s="23">
        <v>0.595</v>
      </c>
      <c r="N4" s="46">
        <f aca="true" t="shared" si="0" ref="N4:N13">N3+1</f>
        <v>6</v>
      </c>
      <c r="O4" s="78" t="s">
        <v>184</v>
      </c>
    </row>
    <row r="5" spans="4:15" ht="15">
      <c r="D5" s="19"/>
      <c r="E5" s="20"/>
      <c r="F5" s="19"/>
      <c r="G5" s="21"/>
      <c r="I5" s="11" t="s">
        <v>170</v>
      </c>
      <c r="J5" s="15">
        <v>1.7651</v>
      </c>
      <c r="K5" s="9"/>
      <c r="L5" s="22">
        <v>0.621</v>
      </c>
      <c r="N5" s="46">
        <f t="shared" si="0"/>
        <v>7</v>
      </c>
      <c r="O5" s="78" t="s">
        <v>185</v>
      </c>
    </row>
    <row r="6" spans="4:15" ht="15">
      <c r="D6" s="19"/>
      <c r="E6" s="20"/>
      <c r="F6" s="19"/>
      <c r="G6" s="21"/>
      <c r="I6" s="8" t="s">
        <v>171</v>
      </c>
      <c r="J6" s="18">
        <v>1.6913</v>
      </c>
      <c r="K6" s="9"/>
      <c r="L6" s="22">
        <v>0.621</v>
      </c>
      <c r="N6" s="46">
        <f t="shared" si="0"/>
        <v>8</v>
      </c>
      <c r="O6" s="78" t="s">
        <v>186</v>
      </c>
    </row>
    <row r="7" spans="4:15" ht="15">
      <c r="D7" s="19"/>
      <c r="E7" s="20"/>
      <c r="F7" s="19"/>
      <c r="G7" s="21"/>
      <c r="I7" s="203" t="s">
        <v>151</v>
      </c>
      <c r="J7" s="15">
        <v>1.7651</v>
      </c>
      <c r="K7" s="10"/>
      <c r="L7" s="23">
        <v>0.621</v>
      </c>
      <c r="N7" s="46">
        <f t="shared" si="0"/>
        <v>9</v>
      </c>
      <c r="O7" s="78" t="s">
        <v>187</v>
      </c>
    </row>
    <row r="8" spans="4:15" ht="15.75" thickBot="1">
      <c r="D8" s="19"/>
      <c r="E8" s="20"/>
      <c r="F8" s="19"/>
      <c r="G8" s="21"/>
      <c r="I8" s="13" t="s">
        <v>152</v>
      </c>
      <c r="J8" s="222">
        <v>1.6913</v>
      </c>
      <c r="K8" s="14"/>
      <c r="L8" s="24">
        <v>0.621</v>
      </c>
      <c r="N8" s="46">
        <f t="shared" si="0"/>
        <v>10</v>
      </c>
      <c r="O8" s="78" t="s">
        <v>188</v>
      </c>
    </row>
    <row r="9" spans="14:15" ht="15">
      <c r="N9" s="46">
        <f t="shared" si="0"/>
        <v>11</v>
      </c>
      <c r="O9" s="78" t="s">
        <v>189</v>
      </c>
    </row>
    <row r="10" spans="14:15" ht="15">
      <c r="N10" s="46">
        <f t="shared" si="0"/>
        <v>12</v>
      </c>
      <c r="O10" s="78" t="s">
        <v>190</v>
      </c>
    </row>
    <row r="11" spans="14:15" ht="15">
      <c r="N11" s="46">
        <f t="shared" si="0"/>
        <v>13</v>
      </c>
      <c r="O11" s="78" t="s">
        <v>191</v>
      </c>
    </row>
    <row r="12" spans="1:15" ht="15">
      <c r="A12" s="5" t="s">
        <v>63</v>
      </c>
      <c r="N12" s="46">
        <f t="shared" si="0"/>
        <v>14</v>
      </c>
      <c r="O12" s="78" t="s">
        <v>192</v>
      </c>
    </row>
    <row r="13" spans="14:15" ht="15">
      <c r="N13" s="46">
        <f t="shared" si="0"/>
        <v>15</v>
      </c>
      <c r="O13" s="78" t="s">
        <v>193</v>
      </c>
    </row>
    <row r="14" spans="1:3" ht="15">
      <c r="A14" s="5" t="s">
        <v>64</v>
      </c>
      <c r="B14" s="40">
        <v>1</v>
      </c>
      <c r="C14" s="1" t="s">
        <v>65</v>
      </c>
    </row>
    <row r="15" ht="8.25" customHeight="1"/>
    <row r="16" spans="1:3" ht="15">
      <c r="A16" s="5" t="s">
        <v>76</v>
      </c>
      <c r="B16" s="40">
        <v>1</v>
      </c>
      <c r="C16" s="1" t="s">
        <v>74</v>
      </c>
    </row>
    <row r="17" ht="6.75" customHeight="1"/>
    <row r="18" spans="1:3" ht="15">
      <c r="A18" s="5" t="s">
        <v>67</v>
      </c>
      <c r="B18" s="40">
        <v>1</v>
      </c>
      <c r="C18" s="1" t="s">
        <v>68</v>
      </c>
    </row>
    <row r="19" ht="7.5" customHeight="1"/>
    <row r="20" spans="1:3" ht="15">
      <c r="A20" s="5" t="s">
        <v>69</v>
      </c>
      <c r="B20" s="40">
        <v>1</v>
      </c>
      <c r="C20" s="1" t="s">
        <v>70</v>
      </c>
    </row>
    <row r="21" ht="7.5" customHeight="1"/>
    <row r="22" spans="1:3" ht="15">
      <c r="A22" s="5" t="s">
        <v>52</v>
      </c>
      <c r="B22" s="40">
        <v>1</v>
      </c>
      <c r="C22" s="1" t="s">
        <v>71</v>
      </c>
    </row>
    <row r="23" spans="2:3" ht="15">
      <c r="B23" s="40">
        <v>2</v>
      </c>
      <c r="C23" s="1" t="s">
        <v>75</v>
      </c>
    </row>
    <row r="24" spans="2:3" ht="17.25" customHeight="1">
      <c r="B24" s="40">
        <v>3</v>
      </c>
      <c r="C24" s="1" t="s">
        <v>72</v>
      </c>
    </row>
    <row r="25" spans="2:3" ht="15">
      <c r="B25" s="40">
        <v>4</v>
      </c>
      <c r="C25" s="1" t="s">
        <v>73</v>
      </c>
    </row>
    <row r="26" ht="6.75" customHeight="1"/>
    <row r="27" spans="1:3" ht="15">
      <c r="A27" s="5" t="s">
        <v>136</v>
      </c>
      <c r="B27" s="40">
        <v>1</v>
      </c>
      <c r="C27" s="1" t="s">
        <v>135</v>
      </c>
    </row>
    <row r="28" ht="9" customHeight="1"/>
    <row r="29" spans="1:3" ht="15">
      <c r="A29" s="5" t="s">
        <v>140</v>
      </c>
      <c r="B29" s="40">
        <v>1</v>
      </c>
      <c r="C29" s="1" t="s">
        <v>141</v>
      </c>
    </row>
  </sheetData>
  <sheetProtection/>
  <printOptions/>
  <pageMargins left="0.5905511811023623" right="0.4724409448818898" top="0.7086614173228347" bottom="0.6299212598425197" header="0.5118110236220472" footer="0.5118110236220472"/>
  <pageSetup fitToHeight="1" fitToWidth="1" horizontalDpi="300" verticalDpi="300" orientation="landscape" paperSize="9" scale="70" r:id="rId1"/>
  <headerFooter alignWithMargins="0">
    <oddFooter>&amp;R&amp;D&amp;F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Q94"/>
  <sheetViews>
    <sheetView zoomScalePageLayoutView="0" workbookViewId="0" topLeftCell="A75">
      <selection activeCell="E81" sqref="E81"/>
    </sheetView>
  </sheetViews>
  <sheetFormatPr defaultColWidth="9.140625" defaultRowHeight="12.75"/>
  <cols>
    <col min="1" max="1" width="4.140625" style="0" customWidth="1"/>
    <col min="2" max="2" width="7.140625" style="0" customWidth="1"/>
    <col min="3" max="3" width="18.421875" style="0" customWidth="1"/>
    <col min="4" max="4" width="19.57421875" style="0" customWidth="1"/>
    <col min="5" max="7" width="12.8515625" style="0" customWidth="1"/>
    <col min="8" max="8" width="7.140625" style="0" customWidth="1"/>
  </cols>
  <sheetData>
    <row r="1" spans="1:8" ht="12.75">
      <c r="A1" s="79" t="s">
        <v>89</v>
      </c>
      <c r="C1" s="298" t="s">
        <v>195</v>
      </c>
      <c r="D1" s="299"/>
      <c r="E1" s="299"/>
      <c r="F1" s="161" t="s">
        <v>107</v>
      </c>
      <c r="G1" s="161"/>
      <c r="H1" s="163"/>
    </row>
    <row r="2" spans="1:8" ht="12.75">
      <c r="A2" s="79" t="s">
        <v>90</v>
      </c>
      <c r="C2" s="161" t="str">
        <f>+F1</f>
        <v>na sede da Alcopar, na cidade de Maringá,</v>
      </c>
      <c r="D2" s="161"/>
      <c r="E2" s="161"/>
      <c r="F2" s="161" t="s">
        <v>104</v>
      </c>
      <c r="G2" s="161"/>
      <c r="H2" s="163"/>
    </row>
    <row r="3" spans="1:7" ht="12.75">
      <c r="A3" s="79" t="s">
        <v>91</v>
      </c>
      <c r="C3" s="224" t="s">
        <v>196</v>
      </c>
      <c r="D3" s="161"/>
      <c r="E3" s="161"/>
      <c r="F3" s="196" t="s">
        <v>126</v>
      </c>
      <c r="G3" s="197" t="s">
        <v>194</v>
      </c>
    </row>
    <row r="4" spans="1:7" ht="12.75">
      <c r="A4" s="80" t="s">
        <v>92</v>
      </c>
      <c r="C4" s="225" t="s">
        <v>198</v>
      </c>
      <c r="D4" s="160"/>
      <c r="E4" s="160"/>
      <c r="F4" s="82"/>
      <c r="G4" s="82"/>
    </row>
    <row r="5" spans="1:7" ht="12.75">
      <c r="A5" s="301" t="s">
        <v>117</v>
      </c>
      <c r="B5" s="301"/>
      <c r="C5" s="219" t="s">
        <v>197</v>
      </c>
      <c r="D5" s="160"/>
      <c r="E5" s="160"/>
      <c r="F5" s="82"/>
      <c r="G5" s="82"/>
    </row>
    <row r="7" spans="2:8" s="31" customFormat="1" ht="15">
      <c r="B7" s="281" t="s">
        <v>84</v>
      </c>
      <c r="C7" s="281"/>
      <c r="D7" s="281"/>
      <c r="E7" s="281"/>
      <c r="F7" s="281"/>
      <c r="G7" s="281"/>
      <c r="H7" s="281"/>
    </row>
    <row r="8" spans="2:8" s="31" customFormat="1" ht="15">
      <c r="B8" s="302" t="s">
        <v>85</v>
      </c>
      <c r="C8" s="302"/>
      <c r="D8" s="302"/>
      <c r="E8" s="302"/>
      <c r="F8" s="302"/>
      <c r="G8" s="302"/>
      <c r="H8" s="302"/>
    </row>
    <row r="11" spans="2:4" s="31" customFormat="1" ht="12.75">
      <c r="B11" s="297" t="str">
        <f>CONCATENATE("RESOLUÇÃO Nº ",C4)</f>
        <v>RESOLUÇÃO Nº 05 - SAFRA 2020/2021</v>
      </c>
      <c r="C11" s="297"/>
      <c r="D11" s="297"/>
    </row>
    <row r="13" spans="2:17" ht="78.75" customHeight="1">
      <c r="B13" s="286" t="str">
        <f>CONCATENATE(I13,C1," ",C2,J13," ",C3,,K13,,G3,L13,C5,".")</f>
        <v>Os Conselheiros do Consecana-Paraná reunida no dia 30 de Julho de 2.020 na sede da Alcopar, na cidade de Maringá, atendendo os dispositivos disciplinados no Capítulo II do Título II do seu Regulamento, aprova e divulga Julho de 2.020a projeção do preço da tonelada de cana-de-açúcar básica para a safra de 2020/2021, que passam a vigorar a partir de 01 de Agosto de 2.020.</v>
      </c>
      <c r="C13" s="287"/>
      <c r="D13" s="287"/>
      <c r="E13" s="287"/>
      <c r="F13" s="287"/>
      <c r="G13" s="287"/>
      <c r="H13" s="287"/>
      <c r="I13" s="164" t="s">
        <v>116</v>
      </c>
      <c r="J13" s="76" t="s">
        <v>113</v>
      </c>
      <c r="K13" s="76" t="s">
        <v>129</v>
      </c>
      <c r="L13" s="76" t="s">
        <v>128</v>
      </c>
      <c r="M13" s="87" t="s">
        <v>102</v>
      </c>
      <c r="N13" s="88" t="s">
        <v>93</v>
      </c>
      <c r="O13" s="53"/>
      <c r="P13" s="53"/>
      <c r="Q13" s="53"/>
    </row>
    <row r="14" spans="4:7" ht="15">
      <c r="D14" s="1"/>
      <c r="E14" s="1"/>
      <c r="F14" s="1"/>
      <c r="G14" s="1"/>
    </row>
    <row r="15" spans="2:8" ht="53.25" customHeight="1">
      <c r="B15" s="303" t="str">
        <f>CONCATENATE(M13," ",C3," ",N13)</f>
        <v>Os preços médios do Kg do ATR, por produto, obtidos no mês de Julho de 2.020 conforme levantamento efetuado pelo Departamento de Economia Rural e Extensão da Universidade Federal do Paraná, são apresentados a seguir:</v>
      </c>
      <c r="C15" s="303"/>
      <c r="D15" s="303"/>
      <c r="E15" s="303"/>
      <c r="F15" s="303"/>
      <c r="G15" s="303"/>
      <c r="H15" s="303"/>
    </row>
    <row r="16" spans="2:8" ht="13.5">
      <c r="B16" s="166"/>
      <c r="C16" s="166"/>
      <c r="D16" s="166"/>
      <c r="E16" s="166"/>
      <c r="F16" s="166"/>
      <c r="G16" s="166"/>
      <c r="H16" s="166"/>
    </row>
    <row r="17" spans="2:8" s="5" customFormat="1" ht="15">
      <c r="B17" s="40"/>
      <c r="C17" s="292" t="str">
        <f>+ATR!B1</f>
        <v>PREÇO DO ATR REALIZADO EM JULHO/2020</v>
      </c>
      <c r="D17" s="292"/>
      <c r="E17" s="292"/>
      <c r="F17" s="292"/>
      <c r="G17" s="292"/>
      <c r="H17" s="162"/>
    </row>
    <row r="18" spans="3:8" ht="12.75">
      <c r="C18" s="291" t="str">
        <f>CONCATENATE("SAFRA ",G3,"   -    PREÇOS EM REAIS A VISTA")</f>
        <v>SAFRA 2020/2021   -    PREÇOS EM REAIS A VISTA</v>
      </c>
      <c r="D18" s="292"/>
      <c r="E18" s="292"/>
      <c r="F18" s="292"/>
      <c r="G18" s="292"/>
      <c r="H18" s="50"/>
    </row>
    <row r="19" spans="3:7" ht="15">
      <c r="C19" s="1"/>
      <c r="D19" s="1"/>
      <c r="E19" s="1"/>
      <c r="F19" s="1"/>
      <c r="G19" s="1"/>
    </row>
    <row r="20" spans="3:7" ht="13.5" thickBot="1">
      <c r="C20" s="304" t="s">
        <v>19</v>
      </c>
      <c r="D20" s="304"/>
      <c r="E20" s="304"/>
      <c r="F20" s="304"/>
      <c r="G20" s="304"/>
    </row>
    <row r="21" spans="3:7" ht="13.5">
      <c r="C21" s="310" t="s">
        <v>18</v>
      </c>
      <c r="D21" s="305" t="s">
        <v>51</v>
      </c>
      <c r="E21" s="306"/>
      <c r="F21" s="305" t="s">
        <v>54</v>
      </c>
      <c r="G21" s="307"/>
    </row>
    <row r="22" spans="3:7" ht="13.5">
      <c r="C22" s="311"/>
      <c r="D22" s="54" t="s">
        <v>52</v>
      </c>
      <c r="E22" s="54" t="s">
        <v>53</v>
      </c>
      <c r="F22" s="54" t="s">
        <v>52</v>
      </c>
      <c r="G22" s="55" t="s">
        <v>53</v>
      </c>
    </row>
    <row r="23" spans="3:7" ht="13.5">
      <c r="C23" s="56" t="s">
        <v>1</v>
      </c>
      <c r="D23" s="57">
        <f>+ATR!C7</f>
        <v>0.02500632471513311</v>
      </c>
      <c r="E23" s="58">
        <f>+ATR!D7</f>
        <v>60.62</v>
      </c>
      <c r="F23" s="57">
        <f>+ATR!E7</f>
        <v>0.024769929553519154</v>
      </c>
      <c r="G23" s="59">
        <f>+ATR!F7</f>
        <v>62.283085699866504</v>
      </c>
    </row>
    <row r="24" spans="3:7" ht="13.5">
      <c r="C24" s="56" t="s">
        <v>2</v>
      </c>
      <c r="D24" s="57">
        <f>+ATR!C8</f>
        <v>0.3040679284929377</v>
      </c>
      <c r="E24" s="58">
        <f>+ATR!D8</f>
        <v>68.69</v>
      </c>
      <c r="F24" s="57">
        <f>+ATR!E8</f>
        <v>0.2841485539705261</v>
      </c>
      <c r="G24" s="59">
        <f>+ATR!F8</f>
        <v>64.8693724295975</v>
      </c>
    </row>
    <row r="25" spans="3:7" ht="13.5">
      <c r="C25" s="171" t="s">
        <v>146</v>
      </c>
      <c r="D25" s="57">
        <f>+ATR!C9</f>
        <v>0.017767773884031186</v>
      </c>
      <c r="E25" s="58">
        <f>+ATR!D9</f>
        <v>1792.02</v>
      </c>
      <c r="F25" s="57">
        <f>+ATR!E9</f>
        <v>0.008200442884081728</v>
      </c>
      <c r="G25" s="59">
        <f>+ATR!F9</f>
        <v>1757.000986087139</v>
      </c>
    </row>
    <row r="26" spans="3:7" ht="13.5">
      <c r="C26" s="171" t="s">
        <v>147</v>
      </c>
      <c r="D26" s="57">
        <f>+ATR!C10</f>
        <v>0.21087003792206324</v>
      </c>
      <c r="E26" s="58">
        <f>+ATR!D10</f>
        <v>1820.11</v>
      </c>
      <c r="F26" s="57">
        <f>+ATR!E10</f>
        <v>0.23497449071729296</v>
      </c>
      <c r="G26" s="59">
        <f>+ATR!F10</f>
        <v>1727.2594253584532</v>
      </c>
    </row>
    <row r="27" spans="3:7" ht="13.5">
      <c r="C27" s="171" t="s">
        <v>151</v>
      </c>
      <c r="D27" s="57">
        <f>+ATR!C11</f>
        <v>0.0009624054240189789</v>
      </c>
      <c r="E27" s="58">
        <f>+ATR!D11</f>
        <v>1934.67</v>
      </c>
      <c r="F27" s="57">
        <f>+ATR!E11</f>
        <v>0.0010842938700735773</v>
      </c>
      <c r="G27" s="59">
        <f>+ATR!F11</f>
        <v>1928.6012881355932</v>
      </c>
    </row>
    <row r="28" spans="3:7" ht="13.5">
      <c r="C28" s="171" t="s">
        <v>148</v>
      </c>
      <c r="D28" s="57">
        <f>+ATR!C13</f>
        <v>0.08515652835865126</v>
      </c>
      <c r="E28" s="58">
        <f>+ATR!D13</f>
        <v>1967.006</v>
      </c>
      <c r="F28" s="57">
        <f>+ATR!E13</f>
        <v>0.030709007885576362</v>
      </c>
      <c r="G28" s="59">
        <f>+ATR!F13</f>
        <v>1947.65744812756</v>
      </c>
    </row>
    <row r="29" spans="3:7" ht="13.5">
      <c r="C29" s="171" t="s">
        <v>149</v>
      </c>
      <c r="D29" s="57">
        <f>+ATR!C14</f>
        <v>0.3464589812206111</v>
      </c>
      <c r="E29" s="58">
        <f>+ATR!D14</f>
        <v>1629.33</v>
      </c>
      <c r="F29" s="57">
        <f>+ATR!E14</f>
        <v>0.36897204764233477</v>
      </c>
      <c r="G29" s="59">
        <f>+ATR!F14</f>
        <v>1486.870761073827</v>
      </c>
    </row>
    <row r="30" spans="3:7" ht="14.25" thickBot="1">
      <c r="C30" s="60" t="s">
        <v>152</v>
      </c>
      <c r="D30" s="61">
        <f>+ATR!C15</f>
        <v>0.009710019982553393</v>
      </c>
      <c r="E30" s="58">
        <f>+ATR!D15</f>
        <v>1691.93</v>
      </c>
      <c r="F30" s="57">
        <f>+ATR!E15</f>
        <v>0.04714123347659546</v>
      </c>
      <c r="G30" s="59">
        <f>+ATR!F15</f>
        <v>1555.7136041207477</v>
      </c>
    </row>
    <row r="31" spans="3:7" ht="10.5" customHeight="1">
      <c r="C31" s="187" t="s">
        <v>150</v>
      </c>
      <c r="D31" s="327">
        <f>ATR!C12</f>
        <v>0.22960021723011342</v>
      </c>
      <c r="E31" s="328">
        <f>ATR!D12</f>
        <v>1818.4164319027311</v>
      </c>
      <c r="F31" s="327">
        <f>ATR!E12</f>
        <v>0.24425922747144824</v>
      </c>
      <c r="G31" s="328">
        <f>ATR!F12</f>
        <v>1729.1517089066415</v>
      </c>
    </row>
    <row r="32" spans="3:7" ht="12">
      <c r="C32" s="187" t="s">
        <v>155</v>
      </c>
      <c r="D32" s="327">
        <f>ATR!C16</f>
        <v>0.44132552956181587</v>
      </c>
      <c r="E32" s="328">
        <f>ATR!D16</f>
        <v>1695.864023422796</v>
      </c>
      <c r="F32" s="327">
        <f>ATR!E16</f>
        <v>0.44682228900450655</v>
      </c>
      <c r="G32" s="328">
        <f>ATR!F16</f>
        <v>1525.802656307446</v>
      </c>
    </row>
    <row r="33" spans="3:7" ht="15">
      <c r="C33" s="1"/>
      <c r="D33" s="329"/>
      <c r="E33" s="329"/>
      <c r="F33" s="329"/>
      <c r="G33" s="329"/>
    </row>
    <row r="34" spans="3:7" ht="15">
      <c r="C34" s="1"/>
      <c r="D34" s="2"/>
      <c r="E34" s="2"/>
      <c r="F34" s="2"/>
      <c r="G34" s="2"/>
    </row>
    <row r="35" spans="3:7" ht="13.5" thickBot="1">
      <c r="C35" s="304" t="s">
        <v>78</v>
      </c>
      <c r="D35" s="304"/>
      <c r="E35" s="304"/>
      <c r="F35" s="304"/>
      <c r="G35" s="304"/>
    </row>
    <row r="36" spans="3:7" ht="13.5">
      <c r="C36" s="310" t="s">
        <v>18</v>
      </c>
      <c r="D36" s="305" t="s">
        <v>51</v>
      </c>
      <c r="E36" s="306"/>
      <c r="F36" s="305" t="s">
        <v>54</v>
      </c>
      <c r="G36" s="307"/>
    </row>
    <row r="37" spans="3:7" ht="13.5">
      <c r="C37" s="311"/>
      <c r="D37" s="54" t="s">
        <v>52</v>
      </c>
      <c r="E37" s="54" t="s">
        <v>53</v>
      </c>
      <c r="F37" s="54" t="s">
        <v>52</v>
      </c>
      <c r="G37" s="55" t="s">
        <v>53</v>
      </c>
    </row>
    <row r="38" spans="3:7" ht="13.5">
      <c r="C38" s="56" t="s">
        <v>1</v>
      </c>
      <c r="D38" s="64">
        <f aca="true" t="shared" si="0" ref="D38:D45">D23</f>
        <v>0.02500632471513311</v>
      </c>
      <c r="E38" s="65">
        <f>+ATR!D24</f>
        <v>0.6873539780848021</v>
      </c>
      <c r="F38" s="64">
        <f aca="true" t="shared" si="1" ref="F38:F45">F23</f>
        <v>0.024769929553519154</v>
      </c>
      <c r="G38" s="66">
        <f>+ATR!F24</f>
        <v>0.7062112623424595</v>
      </c>
    </row>
    <row r="39" spans="3:7" ht="13.5">
      <c r="C39" s="56" t="s">
        <v>2</v>
      </c>
      <c r="D39" s="64">
        <f t="shared" si="0"/>
        <v>0.3040679284929377</v>
      </c>
      <c r="E39" s="65">
        <f>+ATR!D25</f>
        <v>0.7819869893810388</v>
      </c>
      <c r="F39" s="64">
        <f t="shared" si="1"/>
        <v>0.2841485539705261</v>
      </c>
      <c r="G39" s="66">
        <f>+ATR!F25</f>
        <v>0.7384918510592274</v>
      </c>
    </row>
    <row r="40" spans="3:7" ht="13.5">
      <c r="C40" s="171" t="s">
        <v>146</v>
      </c>
      <c r="D40" s="64">
        <f t="shared" si="0"/>
        <v>0.017767773884031186</v>
      </c>
      <c r="E40" s="65">
        <f>+ATR!D26</f>
        <v>0.630471032802674</v>
      </c>
      <c r="F40" s="64">
        <f t="shared" si="1"/>
        <v>0.008200442884081728</v>
      </c>
      <c r="G40" s="66">
        <f>+ATR!F26</f>
        <v>0.6181505933715445</v>
      </c>
    </row>
    <row r="41" spans="3:7" ht="13.5">
      <c r="C41" s="171" t="s">
        <v>147</v>
      </c>
      <c r="D41" s="64">
        <f t="shared" si="0"/>
        <v>0.21087003792206324</v>
      </c>
      <c r="E41" s="65">
        <f>+ATR!D27</f>
        <v>0.6403536966744093</v>
      </c>
      <c r="F41" s="64">
        <f t="shared" si="1"/>
        <v>0.23497449071729296</v>
      </c>
      <c r="G41" s="66">
        <f>+ATR!F27</f>
        <v>0.6076868750482123</v>
      </c>
    </row>
    <row r="42" spans="3:7" ht="13.5">
      <c r="C42" s="171" t="s">
        <v>151</v>
      </c>
      <c r="D42" s="64">
        <f t="shared" si="0"/>
        <v>0.0009624054240189789</v>
      </c>
      <c r="E42" s="65">
        <f>+ATR!D28</f>
        <v>0.6806583592997565</v>
      </c>
      <c r="F42" s="64">
        <f t="shared" si="1"/>
        <v>0.0010842938700735773</v>
      </c>
      <c r="G42" s="66">
        <f>+ATR!F28</f>
        <v>0.6785232564343118</v>
      </c>
    </row>
    <row r="43" spans="3:7" ht="13.5">
      <c r="C43" s="171" t="s">
        <v>148</v>
      </c>
      <c r="D43" s="64">
        <f t="shared" si="0"/>
        <v>0.08515652835865126</v>
      </c>
      <c r="E43" s="65">
        <f>+ATR!D30</f>
        <v>0.7222318488736474</v>
      </c>
      <c r="F43" s="64">
        <f t="shared" si="1"/>
        <v>0.030709007885576362</v>
      </c>
      <c r="G43" s="66">
        <f>+ATR!F30</f>
        <v>0.7151275795466298</v>
      </c>
    </row>
    <row r="44" spans="3:7" ht="13.5">
      <c r="C44" s="171" t="s">
        <v>149</v>
      </c>
      <c r="D44" s="64">
        <f t="shared" si="0"/>
        <v>0.3464589812206111</v>
      </c>
      <c r="E44" s="65">
        <f>+ATR!D31</f>
        <v>0.5982462780109974</v>
      </c>
      <c r="F44" s="64">
        <f t="shared" si="1"/>
        <v>0.36897204764233477</v>
      </c>
      <c r="G44" s="66">
        <f>+ATR!F31</f>
        <v>0.5459390661779971</v>
      </c>
    </row>
    <row r="45" spans="3:7" ht="13.5">
      <c r="C45" s="192" t="s">
        <v>152</v>
      </c>
      <c r="D45" s="64">
        <f t="shared" si="0"/>
        <v>0.009710019982553393</v>
      </c>
      <c r="E45" s="65">
        <f>+ATR!D32</f>
        <v>0.6212313191036481</v>
      </c>
      <c r="F45" s="64">
        <f t="shared" si="1"/>
        <v>0.04714123347659546</v>
      </c>
      <c r="G45" s="66">
        <f>+ATR!F32</f>
        <v>0.5712163118068848</v>
      </c>
    </row>
    <row r="46" spans="3:7" ht="12">
      <c r="C46" s="316" t="s">
        <v>79</v>
      </c>
      <c r="D46" s="312">
        <f>+ATR!C35</f>
        <v>0.6767</v>
      </c>
      <c r="E46" s="318"/>
      <c r="F46" s="312">
        <f>+ATR!E35</f>
        <v>0.6263</v>
      </c>
      <c r="G46" s="313"/>
    </row>
    <row r="47" spans="3:8" ht="14.25" thickBot="1">
      <c r="C47" s="317"/>
      <c r="D47" s="314"/>
      <c r="E47" s="319"/>
      <c r="F47" s="314"/>
      <c r="G47" s="315"/>
      <c r="H47" s="67"/>
    </row>
    <row r="48" spans="3:8" ht="13.5">
      <c r="C48" s="187" t="s">
        <v>150</v>
      </c>
      <c r="D48" s="327">
        <f>D31</f>
        <v>0.22960021723011342</v>
      </c>
      <c r="E48" s="330">
        <f>ATR!D29</f>
        <v>0.6397578631304719</v>
      </c>
      <c r="F48" s="327">
        <f>F31</f>
        <v>0.24425922747144824</v>
      </c>
      <c r="G48" s="330">
        <f>ATR!F29</f>
        <v>0.6083526209455694</v>
      </c>
      <c r="H48" s="67"/>
    </row>
    <row r="49" spans="3:7" ht="12">
      <c r="C49" s="187" t="s">
        <v>155</v>
      </c>
      <c r="D49" s="327">
        <f>D32</f>
        <v>0.44132552956181587</v>
      </c>
      <c r="E49" s="330">
        <f>ATR!D33</f>
        <v>0.6226757869955397</v>
      </c>
      <c r="F49" s="327">
        <f>F32</f>
        <v>0.44682228900450655</v>
      </c>
      <c r="G49" s="330">
        <f>ATR!F33</f>
        <v>0.5602338139696824</v>
      </c>
    </row>
    <row r="50" spans="3:7" ht="15">
      <c r="C50" s="1"/>
      <c r="D50" s="1"/>
      <c r="E50" s="1"/>
      <c r="F50" s="1"/>
      <c r="G50" s="1"/>
    </row>
    <row r="51" spans="2:7" ht="12.75">
      <c r="B51" s="162" t="s">
        <v>86</v>
      </c>
      <c r="C51" s="162"/>
      <c r="D51" s="162"/>
      <c r="E51" s="162"/>
      <c r="F51" s="162"/>
      <c r="G51" s="162"/>
    </row>
    <row r="52" spans="2:7" ht="12.75">
      <c r="B52" s="50"/>
      <c r="C52" s="291" t="str">
        <f>CONCATENATE("SAFRA ",G3,"   -    PREÇOS EM REAIS A VISTA")</f>
        <v>SAFRA 2020/2021   -    PREÇOS EM REAIS A VISTA</v>
      </c>
      <c r="D52" s="292"/>
      <c r="E52" s="292"/>
      <c r="F52" s="292"/>
      <c r="G52" s="50"/>
    </row>
    <row r="53" spans="3:5" ht="15">
      <c r="C53" s="1"/>
      <c r="D53" s="1"/>
      <c r="E53" s="1"/>
    </row>
    <row r="54" spans="3:7" ht="13.5" thickBot="1">
      <c r="C54" s="295" t="s">
        <v>19</v>
      </c>
      <c r="D54" s="295"/>
      <c r="E54" s="295"/>
      <c r="F54" s="50"/>
      <c r="G54" s="50"/>
    </row>
    <row r="55" spans="3:5" ht="13.5">
      <c r="C55" s="156" t="s">
        <v>18</v>
      </c>
      <c r="D55" s="154" t="s">
        <v>0</v>
      </c>
      <c r="E55" s="157" t="s">
        <v>79</v>
      </c>
    </row>
    <row r="56" spans="3:5" ht="13.5">
      <c r="C56" s="56" t="s">
        <v>1</v>
      </c>
      <c r="D56" s="68">
        <f>CANA!G7</f>
        <v>0.006563700858264647</v>
      </c>
      <c r="E56" s="72">
        <f>CANA!H7</f>
        <v>62.283085699866504</v>
      </c>
    </row>
    <row r="57" spans="3:8" ht="13.5">
      <c r="C57" s="56" t="s">
        <v>2</v>
      </c>
      <c r="D57" s="68">
        <f>CANA!G8</f>
        <v>0.4124513959559958</v>
      </c>
      <c r="E57" s="72">
        <f>CANA!H8</f>
        <v>70.2918948565264</v>
      </c>
      <c r="H57" s="51"/>
    </row>
    <row r="58" spans="3:5" ht="13.5">
      <c r="C58" s="171" t="s">
        <v>146</v>
      </c>
      <c r="D58" s="68">
        <f>CANA!G9</f>
        <v>0.002173007956284248</v>
      </c>
      <c r="E58" s="72">
        <f>CANA!H9</f>
        <v>1757.000986087139</v>
      </c>
    </row>
    <row r="59" spans="3:5" ht="13.5">
      <c r="C59" s="171" t="s">
        <v>147</v>
      </c>
      <c r="D59" s="68">
        <f>CANA!G10</f>
        <v>0.19158864643819487</v>
      </c>
      <c r="E59" s="72">
        <f>CANA!H10</f>
        <v>1866.0911668464528</v>
      </c>
    </row>
    <row r="60" spans="3:5" ht="13.5">
      <c r="C60" s="171" t="s">
        <v>151</v>
      </c>
      <c r="D60" s="68">
        <f>CANA!G11</f>
        <v>0.00028732340922632543</v>
      </c>
      <c r="E60" s="72">
        <f>CANA!H11</f>
        <v>1928.6012881355934</v>
      </c>
    </row>
    <row r="61" spans="3:5" ht="13.5">
      <c r="C61" s="171" t="s">
        <v>148</v>
      </c>
      <c r="D61" s="68">
        <f>CANA!G13</f>
        <v>0.008137477378750814</v>
      </c>
      <c r="E61" s="72">
        <f>CANA!H13</f>
        <v>1947.65744812756</v>
      </c>
    </row>
    <row r="62" spans="3:5" ht="13.5">
      <c r="C62" s="171" t="s">
        <v>149</v>
      </c>
      <c r="D62" s="68">
        <f>CANA!G14</f>
        <v>0.36630665007703417</v>
      </c>
      <c r="E62" s="72">
        <f>CANA!H14</f>
        <v>1654.2009308135596</v>
      </c>
    </row>
    <row r="63" spans="3:10" ht="14.25" thickBot="1">
      <c r="C63" s="60" t="s">
        <v>152</v>
      </c>
      <c r="D63" s="331">
        <f>CANA!G15</f>
        <v>0.012491797926248976</v>
      </c>
      <c r="E63" s="73">
        <f>CANA!H15</f>
        <v>1555.7136041207475</v>
      </c>
      <c r="H63" s="308"/>
      <c r="I63" s="308"/>
      <c r="J63" s="308"/>
    </row>
    <row r="64" spans="3:8" ht="15">
      <c r="C64" s="1"/>
      <c r="D64" s="1"/>
      <c r="E64" s="3"/>
      <c r="F64" s="3"/>
      <c r="G64" s="1"/>
      <c r="H64" s="52"/>
    </row>
    <row r="65" spans="3:7" ht="13.5" thickBot="1">
      <c r="C65" s="31" t="s">
        <v>78</v>
      </c>
      <c r="D65" s="31"/>
      <c r="E65" s="47"/>
      <c r="F65" s="47"/>
      <c r="G65" s="47"/>
    </row>
    <row r="66" spans="3:5" ht="13.5">
      <c r="C66" s="156" t="s">
        <v>18</v>
      </c>
      <c r="D66" s="154" t="s">
        <v>0</v>
      </c>
      <c r="E66" s="155" t="s">
        <v>79</v>
      </c>
    </row>
    <row r="67" spans="3:5" ht="13.5">
      <c r="C67" s="56" t="s">
        <v>1</v>
      </c>
      <c r="D67" s="68">
        <f aca="true" t="shared" si="2" ref="D67:D74">+D56</f>
        <v>0.006563700858264647</v>
      </c>
      <c r="E67" s="74">
        <f>CANA!H23</f>
        <v>0.7062112623424595</v>
      </c>
    </row>
    <row r="68" spans="3:5" ht="13.5">
      <c r="C68" s="56" t="s">
        <v>2</v>
      </c>
      <c r="D68" s="68">
        <f t="shared" si="2"/>
        <v>0.4124513959559958</v>
      </c>
      <c r="E68" s="74">
        <f>CANA!H24</f>
        <v>0.8002234275257479</v>
      </c>
    </row>
    <row r="69" spans="3:5" ht="13.5">
      <c r="C69" s="171" t="s">
        <v>146</v>
      </c>
      <c r="D69" s="68">
        <f t="shared" si="2"/>
        <v>0.002173007956284248</v>
      </c>
      <c r="E69" s="74">
        <f>CANA!H25</f>
        <v>0.6181505933715445</v>
      </c>
    </row>
    <row r="70" spans="3:5" ht="13.5">
      <c r="C70" s="171" t="s">
        <v>147</v>
      </c>
      <c r="D70" s="68">
        <f t="shared" si="2"/>
        <v>0.19158864643819487</v>
      </c>
      <c r="E70" s="74">
        <f>CANA!H26</f>
        <v>0.6565308563886734</v>
      </c>
    </row>
    <row r="71" spans="3:5" ht="13.5">
      <c r="C71" s="171" t="s">
        <v>151</v>
      </c>
      <c r="D71" s="68">
        <f t="shared" si="2"/>
        <v>0.00028732340922632543</v>
      </c>
      <c r="E71" s="74">
        <f>CANA!H27</f>
        <v>0.6785232564343118</v>
      </c>
    </row>
    <row r="72" spans="3:5" ht="13.5">
      <c r="C72" s="171" t="s">
        <v>148</v>
      </c>
      <c r="D72" s="68">
        <f t="shared" si="2"/>
        <v>0.008137477378750814</v>
      </c>
      <c r="E72" s="74">
        <f>CANA!H29</f>
        <v>0.7151275795466298</v>
      </c>
    </row>
    <row r="73" spans="3:5" ht="13.5">
      <c r="C73" s="171" t="s">
        <v>149</v>
      </c>
      <c r="D73" s="68">
        <f t="shared" si="2"/>
        <v>0.36630665007703417</v>
      </c>
      <c r="E73" s="74">
        <f>CANA!H30</f>
        <v>0.6073782167771657</v>
      </c>
    </row>
    <row r="74" spans="3:5" ht="13.5">
      <c r="C74" s="192" t="s">
        <v>152</v>
      </c>
      <c r="D74" s="68">
        <f t="shared" si="2"/>
        <v>0.012491797926248976</v>
      </c>
      <c r="E74" s="74">
        <f>CANA!H31</f>
        <v>0.5712163118068847</v>
      </c>
    </row>
    <row r="75" spans="3:6" ht="14.25" thickBot="1">
      <c r="C75" s="75" t="s">
        <v>5</v>
      </c>
      <c r="D75" s="158"/>
      <c r="E75" s="159">
        <f>CANA!G34</f>
        <v>0.6975</v>
      </c>
      <c r="F75" s="200"/>
    </row>
    <row r="76" spans="3:5" ht="15">
      <c r="C76" s="1"/>
      <c r="D76" s="1"/>
      <c r="E76" s="1"/>
    </row>
    <row r="77" spans="2:7" ht="13.5">
      <c r="B77" s="67"/>
      <c r="C77" s="292" t="s">
        <v>87</v>
      </c>
      <c r="D77" s="292"/>
      <c r="E77" s="292"/>
      <c r="F77" s="292"/>
      <c r="G77" s="67"/>
    </row>
    <row r="78" spans="2:7" ht="13.5">
      <c r="B78" s="67"/>
      <c r="C78" s="292" t="s">
        <v>83</v>
      </c>
      <c r="D78" s="292"/>
      <c r="E78" s="292"/>
      <c r="F78" s="292"/>
      <c r="G78" s="67"/>
    </row>
    <row r="79" spans="3:5" ht="15.75" thickBot="1">
      <c r="C79" s="5"/>
      <c r="D79" s="1"/>
      <c r="E79" s="1"/>
    </row>
    <row r="80" spans="3:7" ht="15" thickBot="1" thickTop="1">
      <c r="C80" s="293"/>
      <c r="D80" s="293"/>
      <c r="E80" s="85" t="s">
        <v>26</v>
      </c>
      <c r="F80" s="85" t="s">
        <v>27</v>
      </c>
      <c r="G80" s="70"/>
    </row>
    <row r="81" spans="3:7" ht="15" thickBot="1" thickTop="1">
      <c r="C81" s="294" t="s">
        <v>88</v>
      </c>
      <c r="D81" s="294"/>
      <c r="E81" s="83">
        <f>CANA!G43</f>
        <v>76.17</v>
      </c>
      <c r="F81" s="83">
        <f>CANA!H43</f>
        <v>85.07</v>
      </c>
      <c r="G81" s="94"/>
    </row>
    <row r="82" spans="3:7" ht="15" thickBot="1" thickTop="1">
      <c r="C82" s="290" t="s">
        <v>25</v>
      </c>
      <c r="D82" s="290"/>
      <c r="E82" s="83">
        <f>CANA!G44</f>
        <v>0</v>
      </c>
      <c r="F82" s="84">
        <f>CANA!H44</f>
        <v>0</v>
      </c>
      <c r="G82" s="71"/>
    </row>
    <row r="83" spans="3:7" ht="15" thickBot="1" thickTop="1">
      <c r="C83" s="290" t="s">
        <v>29</v>
      </c>
      <c r="D83" s="290"/>
      <c r="E83" s="83">
        <f>CANA!G45</f>
        <v>76.17</v>
      </c>
      <c r="F83" s="84">
        <f>CANA!H45</f>
        <v>85.07</v>
      </c>
      <c r="G83" s="94"/>
    </row>
    <row r="84" ht="12.75" thickTop="1"/>
    <row r="87" spans="2:7" ht="13.5">
      <c r="B87" s="288" t="str">
        <f>CONCATENATE("Maringá, ",C1)</f>
        <v>Maringá, 30 de Julho de 2.020</v>
      </c>
      <c r="C87" s="288"/>
      <c r="D87" s="288"/>
      <c r="E87" s="288"/>
      <c r="F87" s="288"/>
      <c r="G87" s="288"/>
    </row>
    <row r="91" spans="3:5" ht="12">
      <c r="C91" s="308"/>
      <c r="D91" s="308"/>
      <c r="E91" s="308"/>
    </row>
    <row r="93" spans="2:7" ht="12">
      <c r="B93" s="309" t="s">
        <v>173</v>
      </c>
      <c r="C93" s="308"/>
      <c r="D93" s="308"/>
      <c r="E93" s="308" t="s">
        <v>145</v>
      </c>
      <c r="F93" s="308"/>
      <c r="G93" s="308"/>
    </row>
    <row r="94" spans="2:7" ht="13.5">
      <c r="B94" s="288" t="s">
        <v>133</v>
      </c>
      <c r="C94" s="288"/>
      <c r="D94" s="288"/>
      <c r="E94" s="288" t="s">
        <v>134</v>
      </c>
      <c r="F94" s="289"/>
      <c r="G94" s="289"/>
    </row>
  </sheetData>
  <sheetProtection/>
  <mergeCells count="35">
    <mergeCell ref="B87:G87"/>
    <mergeCell ref="C91:E91"/>
    <mergeCell ref="B93:D93"/>
    <mergeCell ref="E93:G93"/>
    <mergeCell ref="B94:D94"/>
    <mergeCell ref="E94:G94"/>
    <mergeCell ref="C77:F77"/>
    <mergeCell ref="C78:F78"/>
    <mergeCell ref="C80:D80"/>
    <mergeCell ref="C81:D81"/>
    <mergeCell ref="C82:D82"/>
    <mergeCell ref="C83:D83"/>
    <mergeCell ref="F36:G36"/>
    <mergeCell ref="C46:C47"/>
    <mergeCell ref="D46:E47"/>
    <mergeCell ref="F46:G47"/>
    <mergeCell ref="C52:F52"/>
    <mergeCell ref="C54:E54"/>
    <mergeCell ref="C1:E1"/>
    <mergeCell ref="B7:H7"/>
    <mergeCell ref="A5:B5"/>
    <mergeCell ref="B11:D11"/>
    <mergeCell ref="B15:H15"/>
    <mergeCell ref="C17:G17"/>
    <mergeCell ref="C20:G20"/>
    <mergeCell ref="B13:H13"/>
    <mergeCell ref="C18:G18"/>
    <mergeCell ref="H63:J63"/>
    <mergeCell ref="C21:C22"/>
    <mergeCell ref="D21:E21"/>
    <mergeCell ref="F21:G21"/>
    <mergeCell ref="C35:G35"/>
    <mergeCell ref="B8:H8"/>
    <mergeCell ref="C36:C37"/>
    <mergeCell ref="D36:E36"/>
  </mergeCells>
  <printOptions/>
  <pageMargins left="0.9" right="0.787401575" top="0.984251969" bottom="0.984251969" header="0.492125985" footer="0.492125985"/>
  <pageSetup fitToHeight="1" fitToWidth="1" horizontalDpi="600" verticalDpi="600" orientation="portrait" paperSize="9" scale="88" r:id="rId1"/>
  <rowBreaks count="1" manualBreakCount="1">
    <brk id="16" max="255" man="1"/>
  </rowBreaks>
</worksheet>
</file>

<file path=xl/worksheets/sheet11.xml><?xml version="1.0" encoding="utf-8"?>
<worksheet xmlns="http://schemas.openxmlformats.org/spreadsheetml/2006/main" xmlns:r="http://schemas.openxmlformats.org/officeDocument/2006/relationships">
  <dimension ref="A1:Q94"/>
  <sheetViews>
    <sheetView zoomScalePageLayoutView="0" workbookViewId="0" topLeftCell="A10">
      <selection activeCell="B93" sqref="B93:G94"/>
    </sheetView>
  </sheetViews>
  <sheetFormatPr defaultColWidth="9.140625" defaultRowHeight="12.75"/>
  <cols>
    <col min="1" max="1" width="4.140625" style="0" customWidth="1"/>
    <col min="2" max="2" width="7.140625" style="0" customWidth="1"/>
    <col min="3" max="3" width="19.57421875" style="0" customWidth="1"/>
    <col min="4" max="7" width="12.8515625" style="0" customWidth="1"/>
    <col min="8" max="8" width="7.140625" style="0" customWidth="1"/>
  </cols>
  <sheetData>
    <row r="1" spans="1:8" ht="12.75">
      <c r="A1" s="79" t="s">
        <v>89</v>
      </c>
      <c r="C1" s="298" t="s">
        <v>178</v>
      </c>
      <c r="D1" s="299"/>
      <c r="E1" s="299"/>
      <c r="F1" s="296" t="s">
        <v>107</v>
      </c>
      <c r="G1" s="296"/>
      <c r="H1" s="296"/>
    </row>
    <row r="2" spans="1:8" ht="12.75">
      <c r="A2" s="79" t="s">
        <v>90</v>
      </c>
      <c r="C2" s="296" t="s">
        <v>107</v>
      </c>
      <c r="D2" s="296"/>
      <c r="E2" s="296"/>
      <c r="F2" s="296" t="s">
        <v>104</v>
      </c>
      <c r="G2" s="296"/>
      <c r="H2" s="296"/>
    </row>
    <row r="3" spans="1:8" ht="12.75">
      <c r="A3" s="79" t="s">
        <v>91</v>
      </c>
      <c r="C3" s="298" t="s">
        <v>179</v>
      </c>
      <c r="D3" s="299"/>
      <c r="E3" s="299"/>
      <c r="F3" s="196" t="s">
        <v>126</v>
      </c>
      <c r="G3" s="197" t="str">
        <f>'RES-I'!G3</f>
        <v>2020/2021</v>
      </c>
      <c r="H3" s="82"/>
    </row>
    <row r="4" spans="1:8" ht="12.75">
      <c r="A4" s="80" t="s">
        <v>92</v>
      </c>
      <c r="C4" s="300" t="s">
        <v>180</v>
      </c>
      <c r="D4" s="326"/>
      <c r="E4" s="326"/>
      <c r="F4" s="82"/>
      <c r="G4" s="82"/>
      <c r="H4" s="82"/>
    </row>
    <row r="5" spans="1:8" ht="12.75">
      <c r="A5" s="301" t="s">
        <v>117</v>
      </c>
      <c r="B5" s="301"/>
      <c r="C5" s="160"/>
      <c r="D5" s="160"/>
      <c r="E5" s="160"/>
      <c r="F5" s="82"/>
      <c r="G5" s="82"/>
      <c r="H5" s="82"/>
    </row>
    <row r="7" spans="2:8" s="31" customFormat="1" ht="15">
      <c r="B7" s="281" t="s">
        <v>84</v>
      </c>
      <c r="C7" s="281"/>
      <c r="D7" s="281"/>
      <c r="E7" s="281"/>
      <c r="F7" s="281"/>
      <c r="G7" s="281"/>
      <c r="H7" s="281"/>
    </row>
    <row r="8" spans="2:8" s="31" customFormat="1" ht="15">
      <c r="B8" s="302" t="s">
        <v>85</v>
      </c>
      <c r="C8" s="302"/>
      <c r="D8" s="302"/>
      <c r="E8" s="302"/>
      <c r="F8" s="302"/>
      <c r="G8" s="302"/>
      <c r="H8" s="302"/>
    </row>
    <row r="10" ht="12.75" customHeight="1"/>
    <row r="11" spans="2:4" s="31" customFormat="1" ht="12.75">
      <c r="B11" s="297" t="str">
        <f>CONCATENATE("RESOLUÇÃO Nº ",C4)</f>
        <v>RESOLUÇÃO Nº 13 - SAFRA 2018/2019</v>
      </c>
      <c r="C11" s="297"/>
      <c r="D11" s="297"/>
    </row>
    <row r="13" spans="2:17" ht="72" customHeight="1">
      <c r="B13" s="286" t="str">
        <f>CONCATENATE(I13,C1," ",C2,J13," ",C3," ",K13,G3,".")</f>
        <v>Os Conselheiros do Consecana-Paraná reunida no dia 29 de Março de 2.019 na sede da Alcopar, na cidade de Maringá, atendendo os dispositivos disciplinados no Capítulo II do Título II do seu Regulamento, aprova e divulga o preço do ATR realizado em Março de 2.019  e o valor final do preço da tonelada de cana-de-açúcar básica para a safra de 2020/2021.</v>
      </c>
      <c r="C13" s="287"/>
      <c r="D13" s="287"/>
      <c r="E13" s="287"/>
      <c r="F13" s="287"/>
      <c r="G13" s="287"/>
      <c r="H13" s="287"/>
      <c r="I13" s="164" t="s">
        <v>116</v>
      </c>
      <c r="J13" s="76" t="s">
        <v>108</v>
      </c>
      <c r="K13" s="76" t="s">
        <v>130</v>
      </c>
      <c r="L13" s="87" t="s">
        <v>102</v>
      </c>
      <c r="M13" s="88" t="s">
        <v>93</v>
      </c>
      <c r="N13" s="53"/>
      <c r="O13" s="53"/>
      <c r="P13" s="53"/>
      <c r="Q13" s="53"/>
    </row>
    <row r="14" spans="2:17" ht="12.75" customHeight="1">
      <c r="B14" s="191"/>
      <c r="C14" s="53"/>
      <c r="D14" s="53"/>
      <c r="E14" s="53"/>
      <c r="F14" s="53"/>
      <c r="G14" s="53"/>
      <c r="H14" s="53"/>
      <c r="I14" s="76"/>
      <c r="J14" s="76"/>
      <c r="K14" s="76"/>
      <c r="L14" s="87"/>
      <c r="M14" s="88"/>
      <c r="N14" s="53"/>
      <c r="O14" s="53"/>
      <c r="P14" s="53"/>
      <c r="Q14" s="53"/>
    </row>
    <row r="15" spans="2:8" ht="45" customHeight="1">
      <c r="B15" s="303" t="str">
        <f>CONCATENATE(L13," ",C3," ",M13)</f>
        <v>Os preços médios do Kg do ATR, por produto, obtidos no mês de Março de 2.019 conforme levantamento efetuado pelo Departamento de Economia Rural e Extensão da Universidade Federal do Paraná, são apresentados a seguir:</v>
      </c>
      <c r="C15" s="324"/>
      <c r="D15" s="324"/>
      <c r="E15" s="324"/>
      <c r="F15" s="324"/>
      <c r="G15" s="324"/>
      <c r="H15" s="324"/>
    </row>
    <row r="17" spans="2:7" ht="15">
      <c r="B17" s="40"/>
      <c r="C17" s="292" t="str">
        <f>+ATR!B1</f>
        <v>PREÇO DO ATR REALIZADO EM JULHO/2020</v>
      </c>
      <c r="D17" s="292"/>
      <c r="E17" s="292"/>
      <c r="F17" s="292"/>
      <c r="G17" s="292"/>
    </row>
    <row r="18" spans="3:7" ht="12.75">
      <c r="C18" s="291" t="str">
        <f>CONCATENATE("SAFRA ",G3,"   -    PREÇOS EM REAIS A VISTA")</f>
        <v>SAFRA 2020/2021   -    PREÇOS EM REAIS A VISTA</v>
      </c>
      <c r="D18" s="292"/>
      <c r="E18" s="292"/>
      <c r="F18" s="292"/>
      <c r="G18" s="292"/>
    </row>
    <row r="19" spans="3:7" ht="15">
      <c r="C19" s="1"/>
      <c r="D19" s="1"/>
      <c r="E19" s="1"/>
      <c r="F19" s="1"/>
      <c r="G19" s="1"/>
    </row>
    <row r="20" spans="3:7" ht="13.5" thickBot="1">
      <c r="C20" s="304" t="s">
        <v>19</v>
      </c>
      <c r="D20" s="304"/>
      <c r="E20" s="304"/>
      <c r="F20" s="304"/>
      <c r="G20" s="304"/>
    </row>
    <row r="21" spans="3:7" ht="13.5">
      <c r="C21" s="310" t="s">
        <v>18</v>
      </c>
      <c r="D21" s="305" t="s">
        <v>51</v>
      </c>
      <c r="E21" s="306"/>
      <c r="F21" s="305" t="s">
        <v>54</v>
      </c>
      <c r="G21" s="307"/>
    </row>
    <row r="22" spans="3:7" ht="13.5">
      <c r="C22" s="311"/>
      <c r="D22" s="54" t="s">
        <v>52</v>
      </c>
      <c r="E22" s="54" t="s">
        <v>53</v>
      </c>
      <c r="F22" s="54" t="s">
        <v>52</v>
      </c>
      <c r="G22" s="55" t="s">
        <v>53</v>
      </c>
    </row>
    <row r="23" spans="3:7" ht="13.5">
      <c r="C23" s="56" t="s">
        <v>1</v>
      </c>
      <c r="D23" s="57">
        <f>+ATR!C7</f>
        <v>0.02500632471513311</v>
      </c>
      <c r="E23" s="58">
        <f>+ATR!D7</f>
        <v>60.62</v>
      </c>
      <c r="F23" s="57">
        <f>+ATR!E7</f>
        <v>0.024769929553519154</v>
      </c>
      <c r="G23" s="59">
        <f>+ATR!F7</f>
        <v>62.283085699866504</v>
      </c>
    </row>
    <row r="24" spans="3:7" ht="13.5">
      <c r="C24" s="56" t="s">
        <v>2</v>
      </c>
      <c r="D24" s="57">
        <f>+ATR!C8</f>
        <v>0.3040679284929377</v>
      </c>
      <c r="E24" s="58">
        <f>+ATR!D8</f>
        <v>68.69</v>
      </c>
      <c r="F24" s="57">
        <f>+ATR!E8</f>
        <v>0.2841485539705261</v>
      </c>
      <c r="G24" s="59">
        <f>+ATR!F8</f>
        <v>64.8693724295975</v>
      </c>
    </row>
    <row r="25" spans="3:7" ht="13.5">
      <c r="C25" s="171" t="s">
        <v>146</v>
      </c>
      <c r="D25" s="57">
        <f>+ATR!C9</f>
        <v>0.017767773884031186</v>
      </c>
      <c r="E25" s="58">
        <f>+ATR!D9</f>
        <v>1792.02</v>
      </c>
      <c r="F25" s="57">
        <f>+ATR!E9</f>
        <v>0.008200442884081728</v>
      </c>
      <c r="G25" s="59">
        <f>+ATR!F9</f>
        <v>1757.000986087139</v>
      </c>
    </row>
    <row r="26" spans="3:7" ht="13.5">
      <c r="C26" s="171" t="s">
        <v>147</v>
      </c>
      <c r="D26" s="57">
        <f>+ATR!C10</f>
        <v>0.21087003792206324</v>
      </c>
      <c r="E26" s="58">
        <f>+ATR!D10</f>
        <v>1820.11</v>
      </c>
      <c r="F26" s="57">
        <f>+ATR!E10</f>
        <v>0.23497449071729296</v>
      </c>
      <c r="G26" s="59">
        <f>+ATR!F10</f>
        <v>1727.2594253584532</v>
      </c>
    </row>
    <row r="27" spans="3:7" ht="13.5">
      <c r="C27" s="171" t="s">
        <v>151</v>
      </c>
      <c r="D27" s="57">
        <f>+ATR!C11</f>
        <v>0.0009624054240189789</v>
      </c>
      <c r="E27" s="58">
        <f>+ATR!D11</f>
        <v>1934.67</v>
      </c>
      <c r="F27" s="57">
        <f>+ATR!E11</f>
        <v>0.0010842938700735773</v>
      </c>
      <c r="G27" s="59">
        <f>+ATR!F11</f>
        <v>1928.6012881355932</v>
      </c>
    </row>
    <row r="28" spans="3:7" ht="13.5">
      <c r="C28" s="171" t="s">
        <v>148</v>
      </c>
      <c r="D28" s="57">
        <f>+ATR!C13</f>
        <v>0.08515652835865126</v>
      </c>
      <c r="E28" s="58">
        <f>+ATR!D13</f>
        <v>1967.006</v>
      </c>
      <c r="F28" s="57">
        <f>+ATR!E13</f>
        <v>0.030709007885576362</v>
      </c>
      <c r="G28" s="59">
        <f>+ATR!F13</f>
        <v>1947.65744812756</v>
      </c>
    </row>
    <row r="29" spans="3:7" ht="13.5">
      <c r="C29" s="171" t="s">
        <v>149</v>
      </c>
      <c r="D29" s="57">
        <f>+ATR!C14</f>
        <v>0.3464589812206111</v>
      </c>
      <c r="E29" s="58">
        <f>+ATR!D14</f>
        <v>1629.33</v>
      </c>
      <c r="F29" s="57">
        <f>+ATR!E14</f>
        <v>0.36897204764233477</v>
      </c>
      <c r="G29" s="59">
        <f>+ATR!F14</f>
        <v>1486.870761073827</v>
      </c>
    </row>
    <row r="30" spans="3:7" ht="14.25" thickBot="1">
      <c r="C30" s="60" t="s">
        <v>152</v>
      </c>
      <c r="D30" s="61">
        <f>+ATR!C15</f>
        <v>0.009710019982553393</v>
      </c>
      <c r="E30" s="62">
        <f>+ATR!D15</f>
        <v>1691.93</v>
      </c>
      <c r="F30" s="61">
        <f>+ATR!E15</f>
        <v>0.04714123347659546</v>
      </c>
      <c r="G30" s="63">
        <f>+ATR!F15</f>
        <v>1555.7136041207477</v>
      </c>
    </row>
    <row r="31" spans="3:7" ht="10.5" customHeight="1">
      <c r="C31" s="187" t="s">
        <v>153</v>
      </c>
      <c r="D31" s="188">
        <f>ATR!C12</f>
        <v>0.22960021723011342</v>
      </c>
      <c r="E31" s="189">
        <f>ATR!D12</f>
        <v>1818.4164319027311</v>
      </c>
      <c r="F31" s="188">
        <f>ATR!E12</f>
        <v>0.24425922747144824</v>
      </c>
      <c r="G31" s="189">
        <f>ATR!F12</f>
        <v>1729.1517089066415</v>
      </c>
    </row>
    <row r="32" spans="3:7" ht="10.5" customHeight="1">
      <c r="C32" s="187" t="s">
        <v>154</v>
      </c>
      <c r="D32" s="188">
        <f>ATR!C16</f>
        <v>0.44132552956181587</v>
      </c>
      <c r="E32" s="189">
        <f>ATR!D16</f>
        <v>1695.864023422796</v>
      </c>
      <c r="F32" s="188">
        <f>ATR!E16</f>
        <v>0.44682228900450655</v>
      </c>
      <c r="G32" s="189">
        <f>ATR!F16</f>
        <v>1525.802656307446</v>
      </c>
    </row>
    <row r="33" spans="3:7" ht="15">
      <c r="C33" s="1"/>
      <c r="D33" s="2"/>
      <c r="E33" s="2"/>
      <c r="F33" s="2"/>
      <c r="G33" s="2"/>
    </row>
    <row r="34" spans="3:7" ht="15">
      <c r="C34" s="1"/>
      <c r="D34" s="2"/>
      <c r="E34" s="2"/>
      <c r="F34" s="2"/>
      <c r="G34" s="2"/>
    </row>
    <row r="35" spans="3:7" ht="13.5" thickBot="1">
      <c r="C35" s="304" t="s">
        <v>78</v>
      </c>
      <c r="D35" s="304"/>
      <c r="E35" s="304"/>
      <c r="F35" s="304"/>
      <c r="G35" s="304"/>
    </row>
    <row r="36" spans="3:7" ht="13.5">
      <c r="C36" s="310" t="s">
        <v>18</v>
      </c>
      <c r="D36" s="305" t="s">
        <v>51</v>
      </c>
      <c r="E36" s="306"/>
      <c r="F36" s="305" t="s">
        <v>54</v>
      </c>
      <c r="G36" s="307"/>
    </row>
    <row r="37" spans="3:7" ht="13.5">
      <c r="C37" s="311"/>
      <c r="D37" s="54" t="s">
        <v>52</v>
      </c>
      <c r="E37" s="54" t="s">
        <v>53</v>
      </c>
      <c r="F37" s="54" t="s">
        <v>52</v>
      </c>
      <c r="G37" s="55" t="s">
        <v>53</v>
      </c>
    </row>
    <row r="38" spans="3:7" ht="13.5">
      <c r="C38" s="56" t="s">
        <v>1</v>
      </c>
      <c r="D38" s="64">
        <f>D23</f>
        <v>0.02500632471513311</v>
      </c>
      <c r="E38" s="65">
        <f>ATR!D24</f>
        <v>0.6873539780848021</v>
      </c>
      <c r="F38" s="64">
        <f>F23</f>
        <v>0.024769929553519154</v>
      </c>
      <c r="G38" s="66">
        <f>ATR!F24</f>
        <v>0.7062112623424595</v>
      </c>
    </row>
    <row r="39" spans="3:7" ht="13.5">
      <c r="C39" s="56" t="s">
        <v>2</v>
      </c>
      <c r="D39" s="64">
        <f>D24</f>
        <v>0.3040679284929377</v>
      </c>
      <c r="E39" s="65">
        <f>ATR!D25</f>
        <v>0.7819869893810388</v>
      </c>
      <c r="F39" s="64">
        <f>F24</f>
        <v>0.2841485539705261</v>
      </c>
      <c r="G39" s="66">
        <f>ATR!F25</f>
        <v>0.7384918510592274</v>
      </c>
    </row>
    <row r="40" spans="3:7" ht="13.5">
      <c r="C40" s="171" t="s">
        <v>146</v>
      </c>
      <c r="D40" s="64">
        <f>D25</f>
        <v>0.017767773884031186</v>
      </c>
      <c r="E40" s="65">
        <f>ATR!D26</f>
        <v>0.630471032802674</v>
      </c>
      <c r="F40" s="64">
        <f>F25</f>
        <v>0.008200442884081728</v>
      </c>
      <c r="G40" s="66">
        <f>ATR!F26</f>
        <v>0.6181505933715445</v>
      </c>
    </row>
    <row r="41" spans="3:7" ht="13.5">
      <c r="C41" s="171" t="s">
        <v>147</v>
      </c>
      <c r="D41" s="64">
        <f>D26</f>
        <v>0.21087003792206324</v>
      </c>
      <c r="E41" s="65">
        <f>ATR!D27</f>
        <v>0.6403536966744093</v>
      </c>
      <c r="F41" s="64">
        <f>F26</f>
        <v>0.23497449071729296</v>
      </c>
      <c r="G41" s="66">
        <f>ATR!F27</f>
        <v>0.6076868750482123</v>
      </c>
    </row>
    <row r="42" spans="3:7" ht="13.5">
      <c r="C42" s="171" t="s">
        <v>151</v>
      </c>
      <c r="D42" s="64">
        <f>D28</f>
        <v>0.08515652835865126</v>
      </c>
      <c r="E42" s="65">
        <f>+ATR!D28</f>
        <v>0.6806583592997565</v>
      </c>
      <c r="F42" s="64">
        <f>F28</f>
        <v>0.030709007885576362</v>
      </c>
      <c r="G42" s="66">
        <f>+ATR!F28</f>
        <v>0.6785232564343118</v>
      </c>
    </row>
    <row r="43" spans="3:7" ht="13.5">
      <c r="C43" s="171" t="s">
        <v>148</v>
      </c>
      <c r="D43" s="64">
        <f>D28</f>
        <v>0.08515652835865126</v>
      </c>
      <c r="E43" s="65">
        <f>ATR!D30</f>
        <v>0.7222318488736474</v>
      </c>
      <c r="F43" s="64">
        <f>F28</f>
        <v>0.030709007885576362</v>
      </c>
      <c r="G43" s="66">
        <f>ATR!F30</f>
        <v>0.7151275795466298</v>
      </c>
    </row>
    <row r="44" spans="3:7" ht="13.5">
      <c r="C44" s="171" t="s">
        <v>149</v>
      </c>
      <c r="D44" s="64">
        <f>D29</f>
        <v>0.3464589812206111</v>
      </c>
      <c r="E44" s="65">
        <f>ATR!D31</f>
        <v>0.5982462780109974</v>
      </c>
      <c r="F44" s="64">
        <f>F29</f>
        <v>0.36897204764233477</v>
      </c>
      <c r="G44" s="66">
        <f>ATR!F31</f>
        <v>0.5459390661779971</v>
      </c>
    </row>
    <row r="45" spans="3:7" ht="14.25" thickBot="1">
      <c r="C45" s="192" t="s">
        <v>152</v>
      </c>
      <c r="D45" s="193">
        <f>D30</f>
        <v>0.009710019982553393</v>
      </c>
      <c r="E45" s="194">
        <f>ATR!D32</f>
        <v>0.6212313191036481</v>
      </c>
      <c r="F45" s="193">
        <f>F30</f>
        <v>0.04714123347659546</v>
      </c>
      <c r="G45" s="195">
        <f>ATR!F32</f>
        <v>0.5712163118068848</v>
      </c>
    </row>
    <row r="46" spans="3:7" ht="8.25" customHeight="1">
      <c r="C46" s="320" t="s">
        <v>79</v>
      </c>
      <c r="D46" s="321">
        <f>ATR!C35</f>
        <v>0.6767</v>
      </c>
      <c r="E46" s="322"/>
      <c r="F46" s="321">
        <f>ATR!E35</f>
        <v>0.6263</v>
      </c>
      <c r="G46" s="325"/>
    </row>
    <row r="47" spans="3:7" ht="9.75" customHeight="1" thickBot="1">
      <c r="C47" s="317"/>
      <c r="D47" s="314"/>
      <c r="E47" s="319"/>
      <c r="F47" s="314"/>
      <c r="G47" s="315"/>
    </row>
    <row r="48" spans="3:7" ht="10.5" customHeight="1">
      <c r="C48" s="187" t="s">
        <v>153</v>
      </c>
      <c r="D48" s="188">
        <f>D31</f>
        <v>0.22960021723011342</v>
      </c>
      <c r="E48" s="190">
        <f>ATR!D29</f>
        <v>0.6397578631304719</v>
      </c>
      <c r="F48" s="188">
        <f>F31</f>
        <v>0.24425922747144824</v>
      </c>
      <c r="G48" s="190">
        <f>ATR!F29</f>
        <v>0.6083526209455694</v>
      </c>
    </row>
    <row r="49" spans="3:7" ht="10.5" customHeight="1">
      <c r="C49" s="187" t="s">
        <v>154</v>
      </c>
      <c r="D49" s="188">
        <f>D32</f>
        <v>0.44132552956181587</v>
      </c>
      <c r="E49" s="190">
        <f>ATR!D33</f>
        <v>0.6226757869955397</v>
      </c>
      <c r="F49" s="188">
        <f>F32</f>
        <v>0.44682228900450655</v>
      </c>
      <c r="G49" s="190">
        <f>ATR!F33</f>
        <v>0.5602338139696824</v>
      </c>
    </row>
    <row r="50" spans="3:7" ht="15">
      <c r="C50" s="1"/>
      <c r="D50" s="1"/>
      <c r="E50" s="1"/>
      <c r="F50" s="1"/>
      <c r="G50" s="1"/>
    </row>
    <row r="51" spans="2:8" s="5" customFormat="1" ht="15">
      <c r="B51" s="323" t="s">
        <v>125</v>
      </c>
      <c r="C51" s="297"/>
      <c r="D51" s="297"/>
      <c r="E51" s="297"/>
      <c r="F51" s="297"/>
      <c r="G51" s="297"/>
      <c r="H51" s="297"/>
    </row>
    <row r="52" spans="2:8" ht="12.75">
      <c r="B52" s="50"/>
      <c r="C52" s="291" t="str">
        <f>CONCATENATE("SAFRA ",G3,"   -    PREÇOS EM REAIS A VISTA")</f>
        <v>SAFRA 2020/2021   -    PREÇOS EM REAIS A VISTA</v>
      </c>
      <c r="D52" s="292"/>
      <c r="E52" s="292"/>
      <c r="F52" s="292"/>
      <c r="G52" s="50"/>
      <c r="H52" s="50"/>
    </row>
    <row r="53" spans="3:5" ht="15">
      <c r="C53" s="1"/>
      <c r="D53" s="1"/>
      <c r="E53" s="1"/>
    </row>
    <row r="54" spans="3:7" ht="13.5" thickBot="1">
      <c r="C54" s="295" t="s">
        <v>19</v>
      </c>
      <c r="D54" s="295"/>
      <c r="E54" s="295"/>
      <c r="F54" s="50"/>
      <c r="G54" s="50"/>
    </row>
    <row r="55" spans="3:5" ht="13.5">
      <c r="C55" s="156" t="s">
        <v>18</v>
      </c>
      <c r="D55" s="154" t="s">
        <v>0</v>
      </c>
      <c r="E55" s="157" t="s">
        <v>79</v>
      </c>
    </row>
    <row r="56" spans="3:5" ht="13.5">
      <c r="C56" s="56" t="s">
        <v>1</v>
      </c>
      <c r="D56" s="68">
        <f>CANA!G7</f>
        <v>0.006563700858264647</v>
      </c>
      <c r="E56" s="72">
        <f>CANA!H7</f>
        <v>62.283085699866504</v>
      </c>
    </row>
    <row r="57" spans="3:5" ht="13.5">
      <c r="C57" s="56" t="s">
        <v>2</v>
      </c>
      <c r="D57" s="68">
        <f>CANA!G8</f>
        <v>0.4124513959559958</v>
      </c>
      <c r="E57" s="72">
        <f>CANA!H8</f>
        <v>70.2918948565264</v>
      </c>
    </row>
    <row r="58" spans="3:5" ht="13.5">
      <c r="C58" s="171" t="s">
        <v>146</v>
      </c>
      <c r="D58" s="68">
        <f>CANA!G9</f>
        <v>0.002173007956284248</v>
      </c>
      <c r="E58" s="72">
        <f>CANA!H9</f>
        <v>1757.000986087139</v>
      </c>
    </row>
    <row r="59" spans="3:5" ht="13.5">
      <c r="C59" s="171" t="s">
        <v>147</v>
      </c>
      <c r="D59" s="68">
        <f>CANA!G10</f>
        <v>0.19158864643819487</v>
      </c>
      <c r="E59" s="72">
        <f>CANA!H10</f>
        <v>1866.0911668464528</v>
      </c>
    </row>
    <row r="60" spans="3:5" ht="13.5">
      <c r="C60" s="171" t="s">
        <v>151</v>
      </c>
      <c r="D60" s="68">
        <f>CANA!G11</f>
        <v>0.00028732340922632543</v>
      </c>
      <c r="E60" s="72">
        <f>CANA!H11</f>
        <v>1928.6012881355934</v>
      </c>
    </row>
    <row r="61" spans="3:5" ht="13.5">
      <c r="C61" s="171" t="s">
        <v>148</v>
      </c>
      <c r="D61" s="68">
        <f>CANA!G13</f>
        <v>0.008137477378750814</v>
      </c>
      <c r="E61" s="72">
        <f>CANA!H13</f>
        <v>1947.65744812756</v>
      </c>
    </row>
    <row r="62" spans="3:5" ht="13.5">
      <c r="C62" s="171" t="s">
        <v>149</v>
      </c>
      <c r="D62" s="68">
        <f>CANA!G14</f>
        <v>0.36630665007703417</v>
      </c>
      <c r="E62" s="72">
        <f>CANA!H14</f>
        <v>1654.2009308135596</v>
      </c>
    </row>
    <row r="63" spans="3:5" ht="14.25" thickBot="1">
      <c r="C63" s="60" t="s">
        <v>152</v>
      </c>
      <c r="D63" s="69">
        <f>CANA!G15</f>
        <v>0.012491797926248976</v>
      </c>
      <c r="E63" s="73">
        <f>CANA!H15</f>
        <v>1555.7136041207475</v>
      </c>
    </row>
    <row r="64" spans="3:7" ht="15">
      <c r="C64" s="1"/>
      <c r="D64" s="1"/>
      <c r="E64" s="3"/>
      <c r="F64" s="3"/>
      <c r="G64" s="1"/>
    </row>
    <row r="65" spans="3:7" ht="13.5" thickBot="1">
      <c r="C65" s="31" t="s">
        <v>78</v>
      </c>
      <c r="D65" s="31"/>
      <c r="E65" s="47"/>
      <c r="F65" s="47"/>
      <c r="G65" s="47"/>
    </row>
    <row r="66" spans="3:5" ht="13.5">
      <c r="C66" s="156" t="s">
        <v>18</v>
      </c>
      <c r="D66" s="154" t="s">
        <v>0</v>
      </c>
      <c r="E66" s="155" t="s">
        <v>79</v>
      </c>
    </row>
    <row r="67" spans="3:5" ht="13.5">
      <c r="C67" s="56" t="s">
        <v>1</v>
      </c>
      <c r="D67" s="68">
        <f aca="true" t="shared" si="0" ref="D67:D74">+D56</f>
        <v>0.006563700858264647</v>
      </c>
      <c r="E67" s="74">
        <f>CANA!H23</f>
        <v>0.7062112623424595</v>
      </c>
    </row>
    <row r="68" spans="3:5" ht="13.5">
      <c r="C68" s="56" t="s">
        <v>2</v>
      </c>
      <c r="D68" s="68">
        <f t="shared" si="0"/>
        <v>0.4124513959559958</v>
      </c>
      <c r="E68" s="74">
        <f>CANA!H24</f>
        <v>0.8002234275257479</v>
      </c>
    </row>
    <row r="69" spans="3:5" ht="13.5">
      <c r="C69" s="171" t="s">
        <v>146</v>
      </c>
      <c r="D69" s="68">
        <f t="shared" si="0"/>
        <v>0.002173007956284248</v>
      </c>
      <c r="E69" s="74">
        <f>CANA!H25</f>
        <v>0.6181505933715445</v>
      </c>
    </row>
    <row r="70" spans="3:5" ht="13.5">
      <c r="C70" s="171" t="s">
        <v>147</v>
      </c>
      <c r="D70" s="68">
        <f t="shared" si="0"/>
        <v>0.19158864643819487</v>
      </c>
      <c r="E70" s="74">
        <f>CANA!H26</f>
        <v>0.6565308563886734</v>
      </c>
    </row>
    <row r="71" spans="3:5" ht="13.5">
      <c r="C71" s="171" t="s">
        <v>151</v>
      </c>
      <c r="D71" s="68">
        <f t="shared" si="0"/>
        <v>0.00028732340922632543</v>
      </c>
      <c r="E71" s="74">
        <f>CANA!H27</f>
        <v>0.6785232564343118</v>
      </c>
    </row>
    <row r="72" spans="3:5" ht="13.5">
      <c r="C72" s="171" t="s">
        <v>148</v>
      </c>
      <c r="D72" s="68">
        <f t="shared" si="0"/>
        <v>0.008137477378750814</v>
      </c>
      <c r="E72" s="74">
        <f>CANA!H29</f>
        <v>0.7151275795466298</v>
      </c>
    </row>
    <row r="73" spans="3:5" ht="13.5">
      <c r="C73" s="171" t="s">
        <v>149</v>
      </c>
      <c r="D73" s="68">
        <f t="shared" si="0"/>
        <v>0.36630665007703417</v>
      </c>
      <c r="E73" s="74">
        <f>CANA!H30</f>
        <v>0.6073782167771657</v>
      </c>
    </row>
    <row r="74" spans="3:5" ht="13.5">
      <c r="C74" s="192" t="s">
        <v>152</v>
      </c>
      <c r="D74" s="68">
        <f t="shared" si="0"/>
        <v>0.012491797926248976</v>
      </c>
      <c r="E74" s="74">
        <f>CANA!H31</f>
        <v>0.5712163118068847</v>
      </c>
    </row>
    <row r="75" spans="3:5" ht="18" customHeight="1" thickBot="1">
      <c r="C75" s="75" t="s">
        <v>5</v>
      </c>
      <c r="D75" s="158"/>
      <c r="E75" s="159">
        <f>CANA!G34</f>
        <v>0.6975</v>
      </c>
    </row>
    <row r="76" spans="3:5" ht="15">
      <c r="C76" s="1"/>
      <c r="D76" s="1"/>
      <c r="E76" s="1"/>
    </row>
    <row r="77" spans="2:8" ht="13.5">
      <c r="B77" s="67"/>
      <c r="C77" s="291" t="str">
        <f>CONCATENATE("PREÇO FINAL DA CANA BÁSICA - SAFRA ",G3," - R$/TON")</f>
        <v>PREÇO FINAL DA CANA BÁSICA - SAFRA 2020/2021 - R$/TON</v>
      </c>
      <c r="D77" s="292"/>
      <c r="E77" s="292"/>
      <c r="F77" s="292"/>
      <c r="G77" s="67"/>
      <c r="H77" s="67"/>
    </row>
    <row r="78" spans="2:8" ht="13.5">
      <c r="B78" s="67"/>
      <c r="C78" s="292" t="s">
        <v>83</v>
      </c>
      <c r="D78" s="292"/>
      <c r="E78" s="292"/>
      <c r="F78" s="292"/>
      <c r="G78" s="67"/>
      <c r="H78" s="67"/>
    </row>
    <row r="79" spans="3:5" ht="15.75" thickBot="1">
      <c r="C79" s="5"/>
      <c r="D79" s="1"/>
      <c r="E79" s="1"/>
    </row>
    <row r="80" spans="3:7" ht="15" thickBot="1" thickTop="1">
      <c r="C80" s="293"/>
      <c r="D80" s="293"/>
      <c r="E80" s="85" t="s">
        <v>26</v>
      </c>
      <c r="F80" s="85" t="s">
        <v>27</v>
      </c>
      <c r="G80" s="70"/>
    </row>
    <row r="81" spans="3:7" ht="15" thickBot="1" thickTop="1">
      <c r="C81" s="294" t="s">
        <v>88</v>
      </c>
      <c r="D81" s="294"/>
      <c r="E81" s="83">
        <f>CANA!G43</f>
        <v>76.17</v>
      </c>
      <c r="F81" s="84">
        <f>CANA!H43</f>
        <v>85.07</v>
      </c>
      <c r="G81" s="94"/>
    </row>
    <row r="82" spans="3:7" ht="15" thickBot="1" thickTop="1">
      <c r="C82" s="290" t="s">
        <v>25</v>
      </c>
      <c r="D82" s="290"/>
      <c r="E82" s="83">
        <f>CANA!G44</f>
        <v>0</v>
      </c>
      <c r="F82" s="84">
        <f>CANA!H44</f>
        <v>0</v>
      </c>
      <c r="G82" s="71"/>
    </row>
    <row r="83" spans="3:7" ht="15" thickBot="1" thickTop="1">
      <c r="C83" s="290" t="s">
        <v>29</v>
      </c>
      <c r="D83" s="290"/>
      <c r="E83" s="83">
        <f>CANA!G45</f>
        <v>76.17</v>
      </c>
      <c r="F83" s="84">
        <f>CANA!H45</f>
        <v>85.07</v>
      </c>
      <c r="G83" s="94"/>
    </row>
    <row r="84" ht="12.75" thickTop="1"/>
    <row r="87" spans="2:8" ht="13.5">
      <c r="B87" s="288" t="str">
        <f>CONCATENATE("Maringá , ",C1)</f>
        <v>Maringá , 29 de Março de 2.019</v>
      </c>
      <c r="C87" s="288"/>
      <c r="D87" s="288"/>
      <c r="E87" s="288"/>
      <c r="F87" s="288"/>
      <c r="G87" s="288"/>
      <c r="H87" s="51"/>
    </row>
    <row r="93" spans="2:8" ht="12">
      <c r="B93" s="308" t="s">
        <v>145</v>
      </c>
      <c r="C93" s="308"/>
      <c r="D93" s="308"/>
      <c r="E93" s="309" t="s">
        <v>173</v>
      </c>
      <c r="F93" s="308"/>
      <c r="G93" s="308"/>
      <c r="H93" s="32"/>
    </row>
    <row r="94" spans="2:8" ht="13.5">
      <c r="B94" s="288" t="s">
        <v>133</v>
      </c>
      <c r="C94" s="288"/>
      <c r="D94" s="288"/>
      <c r="E94" s="288" t="s">
        <v>134</v>
      </c>
      <c r="F94" s="289"/>
      <c r="G94" s="289"/>
      <c r="H94" s="52"/>
    </row>
  </sheetData>
  <sheetProtection/>
  <mergeCells count="39">
    <mergeCell ref="B94:D94"/>
    <mergeCell ref="E94:G94"/>
    <mergeCell ref="C3:E3"/>
    <mergeCell ref="B8:H8"/>
    <mergeCell ref="A5:B5"/>
    <mergeCell ref="C82:D82"/>
    <mergeCell ref="D36:E36"/>
    <mergeCell ref="D21:E21"/>
    <mergeCell ref="C4:E4"/>
    <mergeCell ref="C17:G17"/>
    <mergeCell ref="C83:D83"/>
    <mergeCell ref="F1:H1"/>
    <mergeCell ref="F2:H2"/>
    <mergeCell ref="B15:H15"/>
    <mergeCell ref="B11:D11"/>
    <mergeCell ref="C1:E1"/>
    <mergeCell ref="C2:E2"/>
    <mergeCell ref="C80:D80"/>
    <mergeCell ref="C81:D81"/>
    <mergeCell ref="F46:G47"/>
    <mergeCell ref="B7:H7"/>
    <mergeCell ref="B51:H51"/>
    <mergeCell ref="F36:G36"/>
    <mergeCell ref="C35:G35"/>
    <mergeCell ref="F21:G21"/>
    <mergeCell ref="C21:C22"/>
    <mergeCell ref="C36:C37"/>
    <mergeCell ref="C18:G18"/>
    <mergeCell ref="B13:H13"/>
    <mergeCell ref="B93:D93"/>
    <mergeCell ref="E93:G93"/>
    <mergeCell ref="C52:F52"/>
    <mergeCell ref="C20:G20"/>
    <mergeCell ref="B87:G87"/>
    <mergeCell ref="C54:E54"/>
    <mergeCell ref="C77:F77"/>
    <mergeCell ref="C78:F78"/>
    <mergeCell ref="C46:C47"/>
    <mergeCell ref="D46:E47"/>
  </mergeCells>
  <printOptions/>
  <pageMargins left="0.9" right="0.787401575" top="0.984251969" bottom="0.984251969" header="0.492125985" footer="0.492125985"/>
  <pageSetup fitToHeight="2" horizontalDpi="600" verticalDpi="600" orientation="portrait" paperSize="9" r:id="rId1"/>
  <rowBreaks count="1" manualBreakCount="1">
    <brk id="50" max="255" man="1"/>
  </rowBreaks>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A1:T30"/>
  <sheetViews>
    <sheetView zoomScalePageLayoutView="0" workbookViewId="0" topLeftCell="A4">
      <selection activeCell="D21" sqref="D21"/>
    </sheetView>
  </sheetViews>
  <sheetFormatPr defaultColWidth="9.140625" defaultRowHeight="12.75"/>
  <cols>
    <col min="1" max="2" width="9.140625" style="47" customWidth="1"/>
    <col min="3" max="3" width="7.8515625" style="47" customWidth="1"/>
    <col min="4" max="4" width="11.421875" style="47" bestFit="1" customWidth="1"/>
    <col min="5" max="5" width="9.8515625" style="47" bestFit="1" customWidth="1"/>
    <col min="6" max="6" width="12.421875" style="47" bestFit="1" customWidth="1"/>
    <col min="7" max="7" width="11.57421875" style="47" customWidth="1"/>
    <col min="8" max="9" width="12.140625" style="47" bestFit="1" customWidth="1"/>
    <col min="10" max="10" width="12.8515625" style="47" bestFit="1" customWidth="1"/>
    <col min="11" max="11" width="9.140625" style="47" customWidth="1"/>
    <col min="12" max="12" width="10.140625" style="47" customWidth="1"/>
    <col min="13" max="16384" width="9.140625" style="47" customWidth="1"/>
  </cols>
  <sheetData>
    <row r="1" spans="1:3" ht="12.75">
      <c r="A1" s="133">
        <v>7</v>
      </c>
      <c r="B1" s="125" t="str">
        <f>VLOOKUP(A1,'INDICES '!N2:O13,2)</f>
        <v>JULHO/2020</v>
      </c>
      <c r="C1" s="125"/>
    </row>
    <row r="2" ht="12">
      <c r="A2" s="134"/>
    </row>
    <row r="3" spans="1:2" ht="12.75">
      <c r="A3" s="135" t="str">
        <f>CONCATENATE("MIX PRODUÇÃO CONSECANA-PARANÁ - PROJEÇÃO DE SAFRA ",'RES-I'!G3)</f>
        <v>MIX PRODUÇÃO CONSECANA-PARANÁ - PROJEÇÃO DE SAFRA 2020/2021</v>
      </c>
      <c r="B3" s="50"/>
    </row>
    <row r="4" spans="1:2" ht="12.75">
      <c r="A4" s="31"/>
      <c r="B4" s="50"/>
    </row>
    <row r="5" spans="1:8" ht="12.75">
      <c r="A5" s="135" t="s">
        <v>100</v>
      </c>
      <c r="B5" s="50"/>
      <c r="D5" s="50" t="s">
        <v>98</v>
      </c>
      <c r="E5" s="50" t="s">
        <v>24</v>
      </c>
      <c r="F5" s="50" t="s">
        <v>105</v>
      </c>
      <c r="H5" s="129"/>
    </row>
    <row r="6" spans="1:10" ht="12.75">
      <c r="A6" s="31" t="s">
        <v>95</v>
      </c>
      <c r="B6" s="50"/>
      <c r="C6" s="127" t="s">
        <v>20</v>
      </c>
      <c r="D6" s="130">
        <f>D27-D7</f>
        <v>1430151.82</v>
      </c>
      <c r="E6" s="136">
        <v>1.0453</v>
      </c>
      <c r="F6" s="130">
        <f>D6*E6</f>
        <v>1494937.6974459998</v>
      </c>
      <c r="G6" s="137">
        <f>F6/$F$10</f>
        <v>0.4124513959559958</v>
      </c>
      <c r="H6" s="129"/>
      <c r="J6" s="237"/>
    </row>
    <row r="7" spans="1:7" ht="12.75">
      <c r="A7" s="31" t="s">
        <v>94</v>
      </c>
      <c r="B7" s="50"/>
      <c r="C7" s="127" t="s">
        <v>20</v>
      </c>
      <c r="D7" s="130">
        <f>D15</f>
        <v>22668.18</v>
      </c>
      <c r="E7" s="136">
        <v>1.0495</v>
      </c>
      <c r="F7" s="130">
        <f>D7*E7</f>
        <v>23790.254910000003</v>
      </c>
      <c r="G7" s="137">
        <f>F7/$F$10</f>
        <v>0.006563700858264647</v>
      </c>
    </row>
    <row r="8" spans="1:10" ht="12.75">
      <c r="A8" s="31" t="s">
        <v>21</v>
      </c>
      <c r="B8" s="50"/>
      <c r="C8" s="127" t="s">
        <v>22</v>
      </c>
      <c r="D8" s="130">
        <v>398467</v>
      </c>
      <c r="E8" s="136">
        <v>1.7651</v>
      </c>
      <c r="F8" s="130">
        <f>D8*E8</f>
        <v>703334.1017</v>
      </c>
      <c r="G8" s="137">
        <f>F8/$F$10</f>
        <v>0.19404897780370542</v>
      </c>
      <c r="H8" s="129"/>
      <c r="J8" s="237"/>
    </row>
    <row r="9" spans="1:10" ht="12.75">
      <c r="A9" s="31" t="s">
        <v>23</v>
      </c>
      <c r="B9" s="50"/>
      <c r="C9" s="127" t="s">
        <v>22</v>
      </c>
      <c r="D9" s="130">
        <v>829218</v>
      </c>
      <c r="E9" s="136">
        <v>1.6913</v>
      </c>
      <c r="F9" s="130">
        <f>D9*E9</f>
        <v>1402456.4034</v>
      </c>
      <c r="G9" s="137">
        <f>F9/$F$10</f>
        <v>0.38693592538203403</v>
      </c>
      <c r="H9" s="129"/>
      <c r="I9" s="129"/>
      <c r="J9" s="237"/>
    </row>
    <row r="10" spans="1:7" ht="12.75">
      <c r="A10" s="31" t="s">
        <v>114</v>
      </c>
      <c r="B10" s="50"/>
      <c r="C10" s="127" t="s">
        <v>115</v>
      </c>
      <c r="D10" s="130"/>
      <c r="E10" s="136"/>
      <c r="F10" s="93">
        <f>SUM(F6:F9)</f>
        <v>3624518.457456</v>
      </c>
      <c r="G10" s="138"/>
    </row>
    <row r="11" spans="4:9" ht="12">
      <c r="D11" s="129"/>
      <c r="H11" s="129"/>
      <c r="I11" s="129"/>
    </row>
    <row r="12" ht="12.75">
      <c r="J12" s="31" t="s">
        <v>97</v>
      </c>
    </row>
    <row r="13" spans="1:20" ht="12.75">
      <c r="A13" s="135" t="s">
        <v>100</v>
      </c>
      <c r="B13" s="50"/>
      <c r="D13" s="50" t="s">
        <v>98</v>
      </c>
      <c r="E13" s="50" t="s">
        <v>24</v>
      </c>
      <c r="F13" s="50" t="s">
        <v>105</v>
      </c>
      <c r="H13" s="31" t="s">
        <v>96</v>
      </c>
      <c r="I13" s="31" t="s">
        <v>97</v>
      </c>
      <c r="J13" s="50" t="s">
        <v>106</v>
      </c>
      <c r="L13" s="50"/>
      <c r="M13" s="127"/>
      <c r="N13" s="127"/>
      <c r="O13" s="127"/>
      <c r="P13" s="127"/>
      <c r="Q13" s="127"/>
      <c r="R13" s="127"/>
      <c r="S13" s="127"/>
      <c r="T13" s="127"/>
    </row>
    <row r="14" spans="1:13" ht="12.75">
      <c r="A14" s="31" t="s">
        <v>95</v>
      </c>
      <c r="B14" s="50"/>
      <c r="C14" s="127" t="s">
        <v>20</v>
      </c>
      <c r="D14" s="130">
        <f>D6</f>
        <v>1430151.82</v>
      </c>
      <c r="E14" s="136">
        <v>1.0453</v>
      </c>
      <c r="F14" s="130">
        <f aca="true" t="shared" si="0" ref="F14:F21">D14*E14</f>
        <v>1494937.6974459998</v>
      </c>
      <c r="G14" s="137">
        <f aca="true" t="shared" si="1" ref="G14:G21">F14/F$22</f>
        <v>0.4124513959559958</v>
      </c>
      <c r="H14" s="130">
        <f>HLOOKUP($A$1,VOLUMES!$Q$2:$AC$11,VOLUMES!P3)</f>
        <v>261083.13800000004</v>
      </c>
      <c r="I14" s="139">
        <f aca="true" t="shared" si="2" ref="I14:I21">D14-H14</f>
        <v>1169068.682</v>
      </c>
      <c r="J14" s="129">
        <f aca="true" t="shared" si="3" ref="J14:J21">I14*E14</f>
        <v>1222027.4932946</v>
      </c>
      <c r="K14" s="137">
        <f aca="true" t="shared" si="4" ref="K14:K22">J14/$J$22</f>
        <v>0.4587070751608456</v>
      </c>
      <c r="L14" s="130"/>
      <c r="M14" s="129"/>
    </row>
    <row r="15" spans="1:13" ht="12.75">
      <c r="A15" s="31" t="s">
        <v>94</v>
      </c>
      <c r="B15" s="50"/>
      <c r="C15" s="127" t="s">
        <v>20</v>
      </c>
      <c r="D15" s="130">
        <v>22668.18</v>
      </c>
      <c r="E15" s="136">
        <v>1.0495</v>
      </c>
      <c r="F15" s="130">
        <f t="shared" si="0"/>
        <v>23790.254910000003</v>
      </c>
      <c r="G15" s="137">
        <f t="shared" si="1"/>
        <v>0.006563700858264647</v>
      </c>
      <c r="H15" s="130">
        <f>HLOOKUP($A$1,VOLUMES!$Q$2:$AC$11,VOLUMES!P4)</f>
        <v>22668.18</v>
      </c>
      <c r="I15" s="139">
        <f t="shared" si="2"/>
        <v>0</v>
      </c>
      <c r="J15" s="129">
        <f t="shared" si="3"/>
        <v>0</v>
      </c>
      <c r="K15" s="137">
        <f t="shared" si="4"/>
        <v>0</v>
      </c>
      <c r="L15" s="130"/>
      <c r="M15" s="129"/>
    </row>
    <row r="16" spans="1:13" ht="12.75">
      <c r="A16" s="135" t="s">
        <v>119</v>
      </c>
      <c r="B16" s="50"/>
      <c r="C16" s="127" t="s">
        <v>22</v>
      </c>
      <c r="D16" s="130">
        <v>4462.13101</v>
      </c>
      <c r="E16" s="136">
        <v>1.7651</v>
      </c>
      <c r="F16" s="130">
        <f t="shared" si="0"/>
        <v>7876.107445750999</v>
      </c>
      <c r="G16" s="137">
        <f t="shared" si="1"/>
        <v>0.002173007956284248</v>
      </c>
      <c r="H16" s="130">
        <f>HLOOKUP($A$1,VOLUMES!$Q$2:$AC$11,VOLUMES!P5)</f>
        <v>4462.13101</v>
      </c>
      <c r="I16" s="139">
        <f t="shared" si="2"/>
        <v>0</v>
      </c>
      <c r="J16" s="129">
        <f t="shared" si="3"/>
        <v>0</v>
      </c>
      <c r="K16" s="137">
        <f t="shared" si="4"/>
        <v>0</v>
      </c>
      <c r="L16" s="130"/>
      <c r="M16" s="129"/>
    </row>
    <row r="17" spans="1:13" ht="12.75">
      <c r="A17" s="135" t="s">
        <v>120</v>
      </c>
      <c r="B17" s="50"/>
      <c r="C17" s="127" t="s">
        <v>22</v>
      </c>
      <c r="D17" s="130">
        <f>D8-D16-D18</f>
        <v>393414.86899</v>
      </c>
      <c r="E17" s="136">
        <v>1.7651</v>
      </c>
      <c r="F17" s="130">
        <f t="shared" si="0"/>
        <v>694416.5852542489</v>
      </c>
      <c r="G17" s="137">
        <f t="shared" si="1"/>
        <v>0.19158864643819484</v>
      </c>
      <c r="H17" s="130">
        <f>HLOOKUP($A$1,VOLUMES!$Q$2:$AC$11,VOLUMES!P6)</f>
        <v>127857.358</v>
      </c>
      <c r="I17" s="139">
        <f t="shared" si="2"/>
        <v>265557.51099</v>
      </c>
      <c r="J17" s="129">
        <f t="shared" si="3"/>
        <v>468735.5626484489</v>
      </c>
      <c r="K17" s="137">
        <f t="shared" si="4"/>
        <v>0.1759472026170767</v>
      </c>
      <c r="L17" s="130"/>
      <c r="M17" s="129"/>
    </row>
    <row r="18" spans="1:13" ht="12.75">
      <c r="A18" s="135" t="s">
        <v>142</v>
      </c>
      <c r="B18" s="50"/>
      <c r="C18" s="127" t="s">
        <v>22</v>
      </c>
      <c r="D18" s="130">
        <v>590</v>
      </c>
      <c r="E18" s="136">
        <v>1.7651</v>
      </c>
      <c r="F18" s="130">
        <f t="shared" si="0"/>
        <v>1041.4089999999999</v>
      </c>
      <c r="G18" s="137">
        <f t="shared" si="1"/>
        <v>0.0002873234092263254</v>
      </c>
      <c r="H18" s="130">
        <f>HLOOKUP($A$1,VOLUMES!$Q$2:$AC$11,VOLUMES!P9)</f>
        <v>590</v>
      </c>
      <c r="I18" s="139">
        <f t="shared" si="2"/>
        <v>0</v>
      </c>
      <c r="J18" s="129">
        <f t="shared" si="3"/>
        <v>0</v>
      </c>
      <c r="K18" s="137">
        <f t="shared" si="4"/>
        <v>0</v>
      </c>
      <c r="L18" s="130"/>
      <c r="M18" s="129"/>
    </row>
    <row r="19" spans="1:13" ht="12.75">
      <c r="A19" s="135" t="s">
        <v>121</v>
      </c>
      <c r="B19" s="50"/>
      <c r="C19" s="127" t="s">
        <v>22</v>
      </c>
      <c r="D19" s="130">
        <v>17438.91501</v>
      </c>
      <c r="E19" s="136">
        <v>1.6913</v>
      </c>
      <c r="F19" s="130">
        <f t="shared" si="0"/>
        <v>29494.436956413003</v>
      </c>
      <c r="G19" s="137">
        <f t="shared" si="1"/>
        <v>0.008137477378750816</v>
      </c>
      <c r="H19" s="130">
        <f>HLOOKUP($A$1,VOLUMES!$Q$2:$AC$11,VOLUMES!P7)</f>
        <v>17438.91501</v>
      </c>
      <c r="I19" s="139">
        <f t="shared" si="2"/>
        <v>0</v>
      </c>
      <c r="J19" s="129">
        <f t="shared" si="3"/>
        <v>0</v>
      </c>
      <c r="K19" s="137">
        <f t="shared" si="4"/>
        <v>0</v>
      </c>
      <c r="L19" s="130"/>
      <c r="M19" s="129"/>
    </row>
    <row r="20" spans="1:13" ht="12.75">
      <c r="A20" s="135" t="s">
        <v>122</v>
      </c>
      <c r="B20" s="50"/>
      <c r="C20" s="127" t="s">
        <v>22</v>
      </c>
      <c r="D20" s="130">
        <f>D9-D19-D21</f>
        <v>785008.69999</v>
      </c>
      <c r="E20" s="136">
        <v>1.6913</v>
      </c>
      <c r="F20" s="130">
        <f t="shared" si="0"/>
        <v>1327685.214293087</v>
      </c>
      <c r="G20" s="137">
        <f t="shared" si="1"/>
        <v>0.3663066500770342</v>
      </c>
      <c r="H20" s="130">
        <f>HLOOKUP($A$1,VOLUMES!$Q$2:$AC$11,VOLUMES!P8)</f>
        <v>209530.44799999997</v>
      </c>
      <c r="I20" s="139">
        <f t="shared" si="2"/>
        <v>575478.25199</v>
      </c>
      <c r="J20" s="129">
        <f t="shared" si="3"/>
        <v>973306.367590687</v>
      </c>
      <c r="K20" s="137">
        <f t="shared" si="4"/>
        <v>0.36534572222207773</v>
      </c>
      <c r="L20" s="130"/>
      <c r="M20" s="129"/>
    </row>
    <row r="21" spans="1:13" ht="12.75">
      <c r="A21" s="135" t="s">
        <v>143</v>
      </c>
      <c r="B21" s="50"/>
      <c r="C21" s="127" t="s">
        <v>22</v>
      </c>
      <c r="D21" s="130">
        <v>26770.385</v>
      </c>
      <c r="E21" s="136">
        <v>1.6913</v>
      </c>
      <c r="F21" s="130">
        <f t="shared" si="0"/>
        <v>45276.7521505</v>
      </c>
      <c r="G21" s="137">
        <f t="shared" si="1"/>
        <v>0.012491797926248976</v>
      </c>
      <c r="H21" s="130">
        <f>HLOOKUP($A$1,VOLUMES!$Q$2:$AC$11,VOLUMES!P10)</f>
        <v>26770.385</v>
      </c>
      <c r="I21" s="139">
        <f t="shared" si="2"/>
        <v>0</v>
      </c>
      <c r="J21" s="129">
        <f t="shared" si="3"/>
        <v>0</v>
      </c>
      <c r="K21" s="137">
        <f t="shared" si="4"/>
        <v>0</v>
      </c>
      <c r="L21" s="130"/>
      <c r="M21" s="129"/>
    </row>
    <row r="22" spans="1:11" ht="12.75">
      <c r="A22" s="31" t="s">
        <v>114</v>
      </c>
      <c r="B22" s="50"/>
      <c r="C22" s="127" t="s">
        <v>115</v>
      </c>
      <c r="D22" s="130"/>
      <c r="E22" s="136"/>
      <c r="F22" s="93">
        <f>SUM(F14:F21)</f>
        <v>3624518.457456</v>
      </c>
      <c r="G22" s="138">
        <f>SUM(G14:G21)</f>
        <v>0.9999999999999998</v>
      </c>
      <c r="J22" s="139">
        <f>SUM(J14:J21)</f>
        <v>2664069.423533736</v>
      </c>
      <c r="K22" s="137">
        <f t="shared" si="4"/>
        <v>1</v>
      </c>
    </row>
    <row r="23" spans="1:11" ht="12.75">
      <c r="A23" s="31"/>
      <c r="B23" s="50"/>
      <c r="C23" s="127"/>
      <c r="D23" s="93"/>
      <c r="E23" s="136"/>
      <c r="F23" s="93"/>
      <c r="G23" s="138"/>
      <c r="J23" s="139"/>
      <c r="K23" s="137"/>
    </row>
    <row r="24" spans="1:9" ht="12.75">
      <c r="A24" s="135" t="s">
        <v>118</v>
      </c>
      <c r="I24" s="129"/>
    </row>
    <row r="25" spans="4:8" ht="12.75">
      <c r="D25" s="139"/>
      <c r="H25" s="132"/>
    </row>
    <row r="26" spans="4:8" ht="12">
      <c r="D26" s="129"/>
      <c r="E26" s="129"/>
      <c r="H26" s="132"/>
    </row>
    <row r="27" spans="4:8" ht="12">
      <c r="D27" s="130">
        <v>1452820</v>
      </c>
      <c r="E27" s="141"/>
      <c r="H27" s="132"/>
    </row>
    <row r="28" spans="3:8" ht="12">
      <c r="C28" s="129"/>
      <c r="D28" s="130">
        <v>398467</v>
      </c>
      <c r="E28" s="141"/>
      <c r="H28" s="132"/>
    </row>
    <row r="29" spans="4:8" ht="12">
      <c r="D29" s="130">
        <v>829218</v>
      </c>
      <c r="E29" s="140"/>
      <c r="H29" s="132"/>
    </row>
    <row r="30" spans="2:5" ht="12">
      <c r="B30" s="47" t="s">
        <v>101</v>
      </c>
      <c r="D30" s="130"/>
      <c r="E30" s="140"/>
    </row>
  </sheetData>
  <sheetProtection/>
  <printOptions/>
  <pageMargins left="0.787401575" right="0.787401575" top="0.984251969" bottom="0.984251969" header="0.492125985" footer="0.49212598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Q43"/>
  <sheetViews>
    <sheetView zoomScale="90" zoomScaleNormal="90" zoomScalePageLayoutView="0" workbookViewId="0" topLeftCell="A1">
      <pane xSplit="2" ySplit="5" topLeftCell="F6" activePane="bottomRight" state="frozen"/>
      <selection pane="topLeft" activeCell="A3" sqref="A3"/>
      <selection pane="topRight" activeCell="A3" sqref="A3"/>
      <selection pane="bottomLeft" activeCell="A3" sqref="A3"/>
      <selection pane="bottomRight" activeCell="G7" sqref="G7"/>
    </sheetView>
  </sheetViews>
  <sheetFormatPr defaultColWidth="9.140625" defaultRowHeight="12.75"/>
  <cols>
    <col min="1" max="1" width="12.00390625" style="1" customWidth="1"/>
    <col min="2" max="2" width="10.8515625" style="1" customWidth="1"/>
    <col min="3" max="3" width="5.140625" style="1" customWidth="1"/>
    <col min="4" max="4" width="13.421875" style="240" customWidth="1"/>
    <col min="5" max="7" width="12.8515625" style="240" customWidth="1"/>
    <col min="8" max="11" width="12.8515625" style="233" customWidth="1"/>
    <col min="12" max="15" width="12.8515625" style="240" customWidth="1"/>
    <col min="16" max="17" width="12.8515625" style="1" customWidth="1"/>
    <col min="18" max="18" width="17.8515625" style="1" customWidth="1"/>
    <col min="19" max="16384" width="9.140625" style="1" customWidth="1"/>
  </cols>
  <sheetData>
    <row r="1" spans="1:15" s="96" customFormat="1" ht="18">
      <c r="A1" s="4" t="s">
        <v>66</v>
      </c>
      <c r="D1" s="239"/>
      <c r="E1" s="239"/>
      <c r="F1" s="239"/>
      <c r="G1" s="239"/>
      <c r="H1" s="232"/>
      <c r="I1" s="232"/>
      <c r="J1" s="232"/>
      <c r="K1" s="232"/>
      <c r="L1" s="239"/>
      <c r="M1" s="239"/>
      <c r="N1" s="239"/>
      <c r="O1" s="239"/>
    </row>
    <row r="2" ht="15">
      <c r="A2" s="86" t="str">
        <f>CONCATENATE("SAFRA ",'RES-I'!G3,"   -    PREÇOS EM REAIS A VISTA")</f>
        <v>SAFRA 2020/2021   -    PREÇOS EM REAIS A VISTA</v>
      </c>
    </row>
    <row r="3" ht="7.5" customHeight="1">
      <c r="A3" s="5"/>
    </row>
    <row r="4" ht="15.75" thickBot="1">
      <c r="A4" s="5" t="s">
        <v>19</v>
      </c>
    </row>
    <row r="5" spans="1:17" ht="15">
      <c r="A5" s="17" t="s">
        <v>18</v>
      </c>
      <c r="B5" s="25" t="s">
        <v>0</v>
      </c>
      <c r="C5" s="97"/>
      <c r="D5" s="243" t="s">
        <v>137</v>
      </c>
      <c r="E5" s="243" t="s">
        <v>30</v>
      </c>
      <c r="F5" s="243" t="s">
        <v>8</v>
      </c>
      <c r="G5" s="243" t="s">
        <v>9</v>
      </c>
      <c r="H5" s="25" t="s">
        <v>10</v>
      </c>
      <c r="I5" s="25" t="s">
        <v>11</v>
      </c>
      <c r="J5" s="25" t="s">
        <v>12</v>
      </c>
      <c r="K5" s="25" t="s">
        <v>13</v>
      </c>
      <c r="L5" s="25" t="s">
        <v>14</v>
      </c>
      <c r="M5" s="25" t="s">
        <v>15</v>
      </c>
      <c r="N5" s="25" t="s">
        <v>16</v>
      </c>
      <c r="O5" s="25" t="s">
        <v>17</v>
      </c>
      <c r="P5" s="25" t="s">
        <v>103</v>
      </c>
      <c r="Q5" s="26" t="s">
        <v>5</v>
      </c>
    </row>
    <row r="6" spans="1:17" ht="15">
      <c r="A6" s="8" t="s">
        <v>1</v>
      </c>
      <c r="B6" s="98">
        <f>VOLUMES!Q16</f>
        <v>0.6563700839486892</v>
      </c>
      <c r="C6" s="7"/>
      <c r="D6" s="244">
        <v>69.03</v>
      </c>
      <c r="E6" s="244">
        <v>52.57</v>
      </c>
      <c r="F6" s="244">
        <v>60.9</v>
      </c>
      <c r="G6" s="244">
        <v>60.62</v>
      </c>
      <c r="H6" s="99"/>
      <c r="I6" s="99"/>
      <c r="J6" s="99"/>
      <c r="K6" s="99"/>
      <c r="L6" s="99"/>
      <c r="M6" s="99"/>
      <c r="N6" s="99"/>
      <c r="O6" s="99"/>
      <c r="P6" s="99">
        <f>MIX!N83</f>
        <v>62.283085699866504</v>
      </c>
      <c r="Q6" s="100">
        <f>+MIX!P83</f>
        <v>62.283085699866504</v>
      </c>
    </row>
    <row r="7" spans="1:17" ht="15">
      <c r="A7" s="8" t="s">
        <v>2</v>
      </c>
      <c r="B7" s="98">
        <f>VOLUMES!Q15</f>
        <v>41.24513947760347</v>
      </c>
      <c r="C7" s="7"/>
      <c r="D7" s="244">
        <v>57.43</v>
      </c>
      <c r="E7" s="244">
        <v>62.18</v>
      </c>
      <c r="F7" s="244">
        <v>68.72</v>
      </c>
      <c r="G7" s="244">
        <v>68.69</v>
      </c>
      <c r="H7" s="99">
        <v>71.72831069689903</v>
      </c>
      <c r="I7" s="99">
        <v>71.41754549782611</v>
      </c>
      <c r="J7" s="99">
        <v>71.10678029875316</v>
      </c>
      <c r="K7" s="99">
        <v>71.30813704871221</v>
      </c>
      <c r="L7" s="99">
        <v>71.50949379867126</v>
      </c>
      <c r="M7" s="99">
        <v>71.71085054863028</v>
      </c>
      <c r="N7" s="99">
        <v>71.91220729858934</v>
      </c>
      <c r="O7" s="7">
        <v>72.1135640485484</v>
      </c>
      <c r="P7" s="99">
        <f>MIX!N84</f>
        <v>70.2918948565264</v>
      </c>
      <c r="Q7" s="100">
        <f>+MIX!P84</f>
        <v>70.2918948565264</v>
      </c>
    </row>
    <row r="8" spans="1:17" ht="15">
      <c r="A8" s="170" t="s">
        <v>146</v>
      </c>
      <c r="B8" s="98">
        <f>VOLUMES!Q17</f>
        <v>0.21730084370564293</v>
      </c>
      <c r="C8" s="7"/>
      <c r="D8" s="245"/>
      <c r="E8" s="245"/>
      <c r="F8" s="245">
        <v>1654.83</v>
      </c>
      <c r="G8" s="245">
        <v>1792.02</v>
      </c>
      <c r="H8" s="7"/>
      <c r="I8" s="7"/>
      <c r="J8" s="7"/>
      <c r="K8" s="7"/>
      <c r="L8" s="7"/>
      <c r="M8" s="7"/>
      <c r="N8" s="7"/>
      <c r="O8" s="7"/>
      <c r="P8" s="99">
        <f>MIX!N85</f>
        <v>1757.000986087139</v>
      </c>
      <c r="Q8" s="100">
        <f>+MIX!P85</f>
        <v>1757.000986087139</v>
      </c>
    </row>
    <row r="9" spans="1:17" ht="15">
      <c r="A9" s="170" t="s">
        <v>147</v>
      </c>
      <c r="B9" s="98">
        <f>VOLUMES!Q18</f>
        <v>19.158864637707758</v>
      </c>
      <c r="C9" s="7"/>
      <c r="D9" s="245">
        <v>1658.03</v>
      </c>
      <c r="E9" s="245">
        <v>1557.56</v>
      </c>
      <c r="F9" s="245">
        <v>1804.75</v>
      </c>
      <c r="G9" s="245">
        <v>1820.11</v>
      </c>
      <c r="H9" s="7">
        <v>1790.3779354750136</v>
      </c>
      <c r="I9" s="7">
        <v>1815.8144907590147</v>
      </c>
      <c r="J9" s="7">
        <v>1862.5073951370132</v>
      </c>
      <c r="K9" s="7">
        <v>1956.284738059883</v>
      </c>
      <c r="L9" s="7">
        <v>1974.3269140871403</v>
      </c>
      <c r="M9" s="7">
        <v>2003.1998839292032</v>
      </c>
      <c r="N9" s="7">
        <v>2051.138148335963</v>
      </c>
      <c r="O9" s="7">
        <v>2051.0823143627667</v>
      </c>
      <c r="P9" s="99">
        <f>MIX!N86</f>
        <v>1866.0911668464528</v>
      </c>
      <c r="Q9" s="100">
        <f>+MIX!P86</f>
        <v>1866.0911668464528</v>
      </c>
    </row>
    <row r="10" spans="1:17" ht="15">
      <c r="A10" s="170" t="s">
        <v>151</v>
      </c>
      <c r="B10" s="98">
        <f>VOLUMES!Q19</f>
        <v>0.028732389539316443</v>
      </c>
      <c r="C10" s="7"/>
      <c r="D10" s="245">
        <v>2065.44</v>
      </c>
      <c r="E10" s="245">
        <v>1629.1</v>
      </c>
      <c r="F10" s="245">
        <v>1827.86</v>
      </c>
      <c r="G10" s="245">
        <v>1934.67</v>
      </c>
      <c r="H10" s="7"/>
      <c r="I10" s="7"/>
      <c r="J10" s="7"/>
      <c r="K10" s="7"/>
      <c r="L10" s="7"/>
      <c r="M10" s="7"/>
      <c r="N10" s="7"/>
      <c r="O10" s="7"/>
      <c r="P10" s="99">
        <f>MIX!N87</f>
        <v>1928.6012881355932</v>
      </c>
      <c r="Q10" s="100">
        <f>+MIX!P87</f>
        <v>1928.6012881355934</v>
      </c>
    </row>
    <row r="11" spans="1:17" ht="15">
      <c r="A11" s="170" t="s">
        <v>148</v>
      </c>
      <c r="B11" s="204">
        <f>VOLUMES!Q20</f>
        <v>0.8137477822098225</v>
      </c>
      <c r="C11" s="205"/>
      <c r="D11" s="246"/>
      <c r="E11" s="246"/>
      <c r="F11" s="246">
        <v>1554.01</v>
      </c>
      <c r="G11" s="246">
        <v>1967.006</v>
      </c>
      <c r="H11" s="7"/>
      <c r="I11" s="205"/>
      <c r="J11" s="205"/>
      <c r="K11" s="205"/>
      <c r="L11" s="205"/>
      <c r="M11" s="205"/>
      <c r="N11" s="205"/>
      <c r="O11" s="205"/>
      <c r="P11" s="206">
        <f>MIX!N88</f>
        <v>1947.65744812756</v>
      </c>
      <c r="Q11" s="207">
        <f>+MIX!P88</f>
        <v>1947.65744812756</v>
      </c>
    </row>
    <row r="12" spans="1:17" ht="15">
      <c r="A12" s="170" t="s">
        <v>149</v>
      </c>
      <c r="B12" s="98">
        <f>VOLUMES!Q21</f>
        <v>36.630664949571376</v>
      </c>
      <c r="C12" s="7"/>
      <c r="D12" s="245">
        <v>1350.67</v>
      </c>
      <c r="E12" s="245">
        <v>1384.84</v>
      </c>
      <c r="F12" s="245">
        <v>1592.82</v>
      </c>
      <c r="G12" s="245">
        <v>1629.33</v>
      </c>
      <c r="H12" s="7">
        <v>1612.1138037636429</v>
      </c>
      <c r="I12" s="7">
        <v>1640.6604527184336</v>
      </c>
      <c r="J12" s="7">
        <v>1693.6044809086925</v>
      </c>
      <c r="K12" s="7">
        <v>1742.4074072334063</v>
      </c>
      <c r="L12" s="7">
        <v>1770.3986421312798</v>
      </c>
      <c r="M12" s="7">
        <v>1796.23356363171</v>
      </c>
      <c r="N12" s="7">
        <v>1841.5559303302964</v>
      </c>
      <c r="O12" s="7">
        <v>1838.3304003543958</v>
      </c>
      <c r="P12" s="99">
        <f>MIX!N89</f>
        <v>1654.2009308135596</v>
      </c>
      <c r="Q12" s="100">
        <f>+MIX!P89</f>
        <v>1654.2009308135596</v>
      </c>
    </row>
    <row r="13" spans="1:17" ht="15">
      <c r="A13" s="8" t="s">
        <v>152</v>
      </c>
      <c r="B13" s="98">
        <f>VOLUMES!Q22</f>
        <v>1.2491798357139334</v>
      </c>
      <c r="C13" s="7"/>
      <c r="D13" s="245">
        <v>1631.9</v>
      </c>
      <c r="E13" s="245">
        <v>1439.08</v>
      </c>
      <c r="F13" s="245">
        <v>1634.05</v>
      </c>
      <c r="G13" s="245">
        <v>1691.93</v>
      </c>
      <c r="H13" s="7"/>
      <c r="I13" s="7"/>
      <c r="J13" s="7"/>
      <c r="K13" s="7"/>
      <c r="L13" s="7"/>
      <c r="M13" s="7"/>
      <c r="N13" s="7"/>
      <c r="O13" s="7"/>
      <c r="P13" s="99">
        <f>MIX!N90</f>
        <v>1555.7136041207477</v>
      </c>
      <c r="Q13" s="100">
        <f>+MIX!P90</f>
        <v>1555.7136041207475</v>
      </c>
    </row>
    <row r="14" spans="1:17" ht="15">
      <c r="A14" s="173" t="s">
        <v>168</v>
      </c>
      <c r="B14" s="227">
        <f>VOLUMES!Q24</f>
        <v>19.40489787095272</v>
      </c>
      <c r="C14" s="228"/>
      <c r="D14" s="247">
        <f>((PREÇOS!D8*VOLUMES!C6)+(PREÇOS!D9*VOLUMES!C7)+(D10*VOLUMES!C10))/(VOLUMES!C6+VOLUMES!C7+VOLUMES!C10)</f>
        <v>1660.6866412471336</v>
      </c>
      <c r="E14" s="247">
        <f>((PREÇOS!E8*VOLUMES!D6)+(PREÇOS!E9*VOLUMES!D7)+(E10*VOLUMES!D10))/(VOLUMES!D6+VOLUMES!D7+VOLUMES!D10)</f>
        <v>1557.8080897826544</v>
      </c>
      <c r="F14" s="247">
        <f>((PREÇOS!F8*VOLUMES!E6)+(PREÇOS!F9*VOLUMES!E7)+(F10*VOLUMES!E10))/(VOLUMES!E6+VOLUMES!E7+VOLUMES!E10)</f>
        <v>1799.6104551811532</v>
      </c>
      <c r="G14" s="247">
        <f>((PREÇOS!G8*VOLUMES!F6)+(PREÇOS!G9*VOLUMES!F7)+(G10*VOLUMES!F10))/(VOLUMES!F6+VOLUMES!F7+VOLUMES!F10)</f>
        <v>1818.4164319027311</v>
      </c>
      <c r="H14" s="175">
        <f>((PREÇOS!H8*VOLUMES!G6)+(PREÇOS!H9*VOLUMES!G7)+(H10*VOLUMES!G10))/(VOLUMES!G6+VOLUMES!G7+VOLUMES!G10)</f>
        <v>1790.3779354750136</v>
      </c>
      <c r="I14" s="175">
        <f>((PREÇOS!I8*VOLUMES!H6)+(PREÇOS!I9*VOLUMES!H7)+(I10*VOLUMES!H10))/(VOLUMES!H6+VOLUMES!H7+VOLUMES!H10)</f>
        <v>1815.8144907590147</v>
      </c>
      <c r="J14" s="228">
        <f>((PREÇOS!J8*VOLUMES!I6)+(PREÇOS!J9*VOLUMES!I7)+(J10*VOLUMES!I10))/(VOLUMES!I6+VOLUMES!I7+VOLUMES!I10)</f>
        <v>1862.5073951370132</v>
      </c>
      <c r="K14" s="228">
        <f>((PREÇOS!K8*VOLUMES!J6)+(PREÇOS!K9*VOLUMES!J7)+(K10*VOLUMES!J10))/(VOLUMES!J6+VOLUMES!J7+VOLUMES!J10)</f>
        <v>1956.284738059883</v>
      </c>
      <c r="L14" s="228">
        <f>((PREÇOS!L8*VOLUMES!K6)+(PREÇOS!L9*VOLUMES!K7)+(L10*VOLUMES!K10))/(VOLUMES!K6+VOLUMES!K7+VOLUMES!K10)</f>
        <v>1974.3269140871403</v>
      </c>
      <c r="M14" s="228">
        <f>((PREÇOS!M8*VOLUMES!L6)+(PREÇOS!M9*VOLUMES!L7)+(M10*VOLUMES!L10))/(VOLUMES!L6+VOLUMES!L7+VOLUMES!L10)</f>
        <v>2003.1998839292032</v>
      </c>
      <c r="N14" s="228">
        <f>((PREÇOS!N8*VOLUMES!M6)+(PREÇOS!N9*VOLUMES!M7)+(N10*VOLUMES!M10))/(VOLUMES!M6+VOLUMES!M7+VOLUMES!M10)</f>
        <v>2051.138148335963</v>
      </c>
      <c r="O14" s="228">
        <f>((PREÇOS!O8*VOLUMES!N6)+(PREÇOS!O9*VOLUMES!N7)+(O10*VOLUMES!N10))/(VOLUMES!N6+VOLUMES!N7+VOLUMES!N10)</f>
        <v>2051.0823143627667</v>
      </c>
      <c r="P14" s="228">
        <f>((PREÇOS!P8*VOLUMES!O6)+(PREÇOS!P9*VOLUMES!O7)+(P10*VOLUMES!O10))/(VOLUMES!O6+VOLUMES!O7+VOLUMES!O10)</f>
        <v>1850.564480356395</v>
      </c>
      <c r="Q14" s="229">
        <f>'MIX-1'!P57</f>
        <v>1864.9621053430285</v>
      </c>
    </row>
    <row r="15" spans="1:17" ht="15">
      <c r="A15" s="173" t="s">
        <v>169</v>
      </c>
      <c r="B15" s="198">
        <f>VOLUMES!Q25</f>
        <v>38.69359256749513</v>
      </c>
      <c r="C15" s="175"/>
      <c r="D15" s="247">
        <f>((PREÇOS!D11*VOLUMES!C8)+(PREÇOS!D12*VOLUMES!C9)+(D13*VOLUMES!C11))/(VOLUMES!C8+VOLUMES!C9+VOLUMES!C11)</f>
        <v>1380.050473319345</v>
      </c>
      <c r="E15" s="247">
        <f>((PREÇOS!E11*VOLUMES!D8)+(PREÇOS!E12*VOLUMES!D9)+(E13*VOLUMES!D11))/(VOLUMES!D8+VOLUMES!D9+VOLUMES!D11)</f>
        <v>1395.4751341166973</v>
      </c>
      <c r="F15" s="247">
        <f>((PREÇOS!F11*VOLUMES!E8)+(PREÇOS!F12*VOLUMES!E9)+(F13*VOLUMES!E11))/(VOLUMES!E8+VOLUMES!E9+VOLUMES!E11)</f>
        <v>1598.490898566126</v>
      </c>
      <c r="G15" s="247">
        <f>((PREÇOS!G11*VOLUMES!F8)+(PREÇOS!G12*VOLUMES!F9)+(G13*VOLUMES!F11))/(VOLUMES!F8+VOLUMES!F9+VOLUMES!F11)</f>
        <v>1695.864023422796</v>
      </c>
      <c r="H15" s="175">
        <f>((PREÇOS!H11*VOLUMES!G8)+(PREÇOS!H12*VOLUMES!G9)+(H13*VOLUMES!G11))/(VOLUMES!G8+VOLUMES!G9+VOLUMES!G11)</f>
        <v>1612.1138037636429</v>
      </c>
      <c r="I15" s="175">
        <f>((PREÇOS!I11*VOLUMES!H8)+(PREÇOS!I12*VOLUMES!H9)+(I13*VOLUMES!H11))/(VOLUMES!H8+VOLUMES!H9+VOLUMES!H11)</f>
        <v>1640.6604527184336</v>
      </c>
      <c r="J15" s="175">
        <f>((PREÇOS!J11*VOLUMES!I8)+(PREÇOS!J12*VOLUMES!I9)+(J13*VOLUMES!I11))/(VOLUMES!I8+VOLUMES!I9+VOLUMES!I11)</f>
        <v>1693.6044809086925</v>
      </c>
      <c r="K15" s="175">
        <f>((PREÇOS!K11*VOLUMES!J8)+(PREÇOS!K12*VOLUMES!J9)+(K13*VOLUMES!J11))/(VOLUMES!J8+VOLUMES!J9+VOLUMES!J11)</f>
        <v>1742.4074072334063</v>
      </c>
      <c r="L15" s="175">
        <f>((PREÇOS!L11*VOLUMES!K8)+(PREÇOS!L12*VOLUMES!K9)+(L13*VOLUMES!K11))/(VOLUMES!K8+VOLUMES!K9+VOLUMES!K11)</f>
        <v>1770.3986421312798</v>
      </c>
      <c r="M15" s="175">
        <f>((PREÇOS!M11*VOLUMES!L8)+(PREÇOS!M12*VOLUMES!L9)+(M13*VOLUMES!L11))/(VOLUMES!L8+VOLUMES!L9+VOLUMES!L11)</f>
        <v>1796.23356363171</v>
      </c>
      <c r="N15" s="175">
        <f>((PREÇOS!N11*VOLUMES!M8)+(PREÇOS!N12*VOLUMES!M9)+(N13*VOLUMES!M11))/(VOLUMES!M8+VOLUMES!M9+VOLUMES!M11)</f>
        <v>1841.5559303302964</v>
      </c>
      <c r="O15" s="175">
        <f>((PREÇOS!O11*VOLUMES!N8)+(PREÇOS!O12*VOLUMES!N9)+(O13*VOLUMES!N11))/(VOLUMES!N8+VOLUMES!N9+VOLUMES!N11)</f>
        <v>1838.3304003543958</v>
      </c>
      <c r="P15" s="175">
        <f>((PREÇOS!P11*VOLUMES!O8)+(PREÇOS!P12*VOLUMES!O9)+(P13*VOLUMES!O11))/(VOLUMES!O8+VOLUMES!O9+VOLUMES!O11)</f>
        <v>1719.1906610206224</v>
      </c>
      <c r="Q15" s="184">
        <f>'MIX-1'!P58</f>
        <v>1657.1929302604783</v>
      </c>
    </row>
    <row r="16" spans="2:16" ht="9" customHeight="1">
      <c r="B16" s="3"/>
      <c r="C16" s="2"/>
      <c r="D16" s="248"/>
      <c r="E16" s="248"/>
      <c r="F16" s="248"/>
      <c r="G16" s="248"/>
      <c r="H16" s="2"/>
      <c r="I16" s="2"/>
      <c r="J16" s="2"/>
      <c r="K16" s="2"/>
      <c r="L16" s="2"/>
      <c r="M16" s="2"/>
      <c r="N16" s="2"/>
      <c r="O16" s="2"/>
      <c r="P16" s="2"/>
    </row>
    <row r="17" spans="1:15" ht="15.75" thickBot="1">
      <c r="A17" s="1" t="s">
        <v>3</v>
      </c>
      <c r="D17" s="249"/>
      <c r="E17" s="249"/>
      <c r="F17" s="249"/>
      <c r="G17" s="249"/>
      <c r="H17" s="1"/>
      <c r="I17" s="1"/>
      <c r="J17" s="1"/>
      <c r="K17" s="1"/>
      <c r="L17" s="1"/>
      <c r="M17" s="1"/>
      <c r="N17" s="1"/>
      <c r="O17" s="1"/>
    </row>
    <row r="18" spans="1:17" s="16" customFormat="1" ht="15">
      <c r="A18" s="17" t="s">
        <v>18</v>
      </c>
      <c r="B18" s="25" t="s">
        <v>0</v>
      </c>
      <c r="C18" s="101"/>
      <c r="D18" s="243" t="s">
        <v>137</v>
      </c>
      <c r="E18" s="243" t="s">
        <v>30</v>
      </c>
      <c r="F18" s="243" t="s">
        <v>8</v>
      </c>
      <c r="G18" s="243" t="s">
        <v>9</v>
      </c>
      <c r="H18" s="25" t="s">
        <v>10</v>
      </c>
      <c r="I18" s="25" t="s">
        <v>11</v>
      </c>
      <c r="J18" s="25" t="s">
        <v>12</v>
      </c>
      <c r="K18" s="25" t="s">
        <v>13</v>
      </c>
      <c r="L18" s="25" t="s">
        <v>14</v>
      </c>
      <c r="M18" s="25" t="s">
        <v>15</v>
      </c>
      <c r="N18" s="25" t="s">
        <v>16</v>
      </c>
      <c r="O18" s="25" t="s">
        <v>17</v>
      </c>
      <c r="P18" s="25" t="s">
        <v>103</v>
      </c>
      <c r="Q18" s="26" t="s">
        <v>5</v>
      </c>
    </row>
    <row r="19" spans="1:17" ht="15">
      <c r="A19" s="8" t="s">
        <v>1</v>
      </c>
      <c r="B19" s="7">
        <f aca="true" t="shared" si="0" ref="B19:B26">B6</f>
        <v>0.6563700839486892</v>
      </c>
      <c r="C19" s="15"/>
      <c r="D19" s="250">
        <f>D6*'INDICES '!$L$3/'INDICES '!$J$3/1000*20</f>
        <v>0.7827127203430204</v>
      </c>
      <c r="E19" s="250">
        <f>E6*'INDICES '!$L$3/'INDICES '!$J$3/1000*20</f>
        <v>0.5960771796093377</v>
      </c>
      <c r="F19" s="250">
        <f>F6*'INDICES '!$L$3/'INDICES '!$J$3/1000*20</f>
        <v>0.690528823249166</v>
      </c>
      <c r="G19" s="250">
        <f>G6*'INDICES '!$L$3/'INDICES '!$J$3/1000*20</f>
        <v>0.6873539780848021</v>
      </c>
      <c r="H19" s="15">
        <f>H6*'INDICES '!$L$3/'INDICES '!$J$3/1000*20</f>
        <v>0</v>
      </c>
      <c r="I19" s="15">
        <f>I6*'INDICES '!$L$3/'INDICES '!$J$3/1000*20</f>
        <v>0</v>
      </c>
      <c r="J19" s="15">
        <f>J6*'INDICES '!$L$3/'INDICES '!$J$3/1000*20</f>
        <v>0</v>
      </c>
      <c r="K19" s="15">
        <f>K6*'INDICES '!$L$3/'INDICES '!$J$3/1000*20</f>
        <v>0</v>
      </c>
      <c r="L19" s="15">
        <f>L6*'INDICES '!$L$3/'INDICES '!$J$3/1000*20</f>
        <v>0</v>
      </c>
      <c r="M19" s="15">
        <f>M6*'INDICES '!$L$3/'INDICES '!$J$3/1000*20</f>
        <v>0</v>
      </c>
      <c r="N19" s="15">
        <f>N6*'INDICES '!$L$3/'INDICES '!$J$3/1000*20</f>
        <v>0</v>
      </c>
      <c r="O19" s="15">
        <f>O6*'INDICES '!$L$3/'INDICES '!$J$3/1000*20</f>
        <v>0</v>
      </c>
      <c r="P19" s="15">
        <f>P6*'INDICES '!$L$3/'INDICES '!$J$3/1000*20</f>
        <v>0.7062112623424595</v>
      </c>
      <c r="Q19" s="36">
        <f>Q6*'INDICES '!$L$3/'INDICES '!$J$3/1000*20</f>
        <v>0.7062112623424595</v>
      </c>
    </row>
    <row r="20" spans="1:17" ht="15">
      <c r="A20" s="8" t="s">
        <v>2</v>
      </c>
      <c r="B20" s="7">
        <f t="shared" si="0"/>
        <v>41.24513947760347</v>
      </c>
      <c r="C20" s="15"/>
      <c r="D20" s="250">
        <f>D7*'INDICES '!$L$4/'INDICES '!$J$4/1000*20</f>
        <v>0.6537998660671579</v>
      </c>
      <c r="E20" s="250">
        <f>E7*'INDICES '!$L$4/'INDICES '!$J$4/1000*20</f>
        <v>0.7078752511240792</v>
      </c>
      <c r="F20" s="250">
        <f>F7*'INDICES '!$L$4/'INDICES '!$J$4/1000*20</f>
        <v>0.7823285181287669</v>
      </c>
      <c r="G20" s="250">
        <f>G7*'INDICES '!$L$4/'INDICES '!$J$4/1000*20</f>
        <v>0.7819869893810388</v>
      </c>
      <c r="H20" s="15">
        <f>H7*'INDICES '!$L$4/'INDICES '!$J$4/1000*20</f>
        <v>0.8165760042983817</v>
      </c>
      <c r="I20" s="15">
        <f>I7*'INDICES '!$L$4/'INDICES '!$J$4/1000*20</f>
        <v>0.8130381626558221</v>
      </c>
      <c r="J20" s="15">
        <f>J7*'INDICES '!$L$4/'INDICES '!$J$4/1000*20</f>
        <v>0.8095003210132621</v>
      </c>
      <c r="K20" s="15">
        <f>K7*'INDICES '!$L$4/'INDICES '!$J$4/1000*20</f>
        <v>0.8117926249685979</v>
      </c>
      <c r="L20" s="15">
        <f>L7*'INDICES '!$L$4/'INDICES '!$J$4/1000*20</f>
        <v>0.8140849289239338</v>
      </c>
      <c r="M20" s="15">
        <f>M7*'INDICES '!$L$4/'INDICES '!$J$4/1000*20</f>
        <v>0.8163772328792694</v>
      </c>
      <c r="N20" s="15">
        <f>N7*'INDICES '!$L$4/'INDICES '!$J$4/1000*20</f>
        <v>0.8186695368346054</v>
      </c>
      <c r="O20" s="15">
        <f>O7*'INDICES '!$L$4/'INDICES '!$J$4/1000*20</f>
        <v>0.8209618407899417</v>
      </c>
      <c r="P20" s="15">
        <f>P7*'INDICES '!$L$4/'INDICES '!$J$4/1000*20</f>
        <v>0.8002234275257479</v>
      </c>
      <c r="Q20" s="36">
        <f>Q7*'INDICES '!$L$4/'INDICES '!$J$4/1000*20</f>
        <v>0.8002234275257479</v>
      </c>
    </row>
    <row r="21" spans="1:17" ht="15">
      <c r="A21" s="170" t="s">
        <v>146</v>
      </c>
      <c r="B21" s="7">
        <f t="shared" si="0"/>
        <v>0.21730084370564293</v>
      </c>
      <c r="C21" s="15"/>
      <c r="D21" s="250">
        <f>D8*'INDICES '!$L$5/'INDICES '!$J$5/1000</f>
        <v>0</v>
      </c>
      <c r="E21" s="250">
        <f>E8*'INDICES '!$L$5/'INDICES '!$J$5/1000</f>
        <v>0</v>
      </c>
      <c r="F21" s="250">
        <f>F8*'INDICES '!$L$5/'INDICES '!$J$5/1000</f>
        <v>0.5822046512945442</v>
      </c>
      <c r="G21" s="250">
        <f>G8*'INDICES '!$L$5/'INDICES '!$J$5/1000</f>
        <v>0.630471032802674</v>
      </c>
      <c r="H21" s="15">
        <f>H8*'INDICES '!$L$5/'INDICES '!$J$5/1000</f>
        <v>0</v>
      </c>
      <c r="I21" s="15">
        <f>I8*'INDICES '!$L$5/'INDICES '!$J$5/1000</f>
        <v>0</v>
      </c>
      <c r="J21" s="15">
        <f>J8*'INDICES '!$L$5/'INDICES '!$J$5/1000</f>
        <v>0</v>
      </c>
      <c r="K21" s="15">
        <f>K8*'INDICES '!$L$5/'INDICES '!$J$5/1000</f>
        <v>0</v>
      </c>
      <c r="L21" s="15">
        <f>L8*'INDICES '!$L$5/'INDICES '!$J$5/1000</f>
        <v>0</v>
      </c>
      <c r="M21" s="15">
        <f>M8*'INDICES '!$L$5/'INDICES '!$J$5/1000</f>
        <v>0</v>
      </c>
      <c r="N21" s="15">
        <f>N8*'INDICES '!$L$5/'INDICES '!$J$5/1000</f>
        <v>0</v>
      </c>
      <c r="O21" s="15">
        <f>O8*'INDICES '!$L$5/'INDICES '!$J$5/1000</f>
        <v>0</v>
      </c>
      <c r="P21" s="15">
        <f>P8*'INDICES '!$L$5/'INDICES '!$J$5/1000</f>
        <v>0.6181505933715445</v>
      </c>
      <c r="Q21" s="36">
        <f>Q8*'INDICES '!$L$5/'INDICES '!$J$5/1000</f>
        <v>0.6181505933715445</v>
      </c>
    </row>
    <row r="22" spans="1:17" ht="15">
      <c r="A22" s="170" t="s">
        <v>147</v>
      </c>
      <c r="B22" s="7">
        <f t="shared" si="0"/>
        <v>19.158864637707758</v>
      </c>
      <c r="C22" s="15"/>
      <c r="D22" s="250">
        <f>D9*'INDICES '!$L$5/'INDICES '!$J$5/1000</f>
        <v>0.583330479859498</v>
      </c>
      <c r="E22" s="250">
        <f>E9*'INDICES '!$L$5/'INDICES '!$J$5/1000</f>
        <v>0.5479829811342133</v>
      </c>
      <c r="F22" s="250">
        <f>F9*'INDICES '!$L$5/'INDICES '!$J$5/1000</f>
        <v>0.634949719562631</v>
      </c>
      <c r="G22" s="250">
        <f>G9*'INDICES '!$L$5/'INDICES '!$J$5/1000</f>
        <v>0.6403536966744093</v>
      </c>
      <c r="H22" s="15">
        <f>H9*'INDICES '!$L$5/'INDICES '!$J$5/1000</f>
        <v>0.6298933193190094</v>
      </c>
      <c r="I22" s="15">
        <f>I9*'INDICES '!$L$5/'INDICES '!$J$5/1000</f>
        <v>0.6388424444854955</v>
      </c>
      <c r="J22" s="15">
        <f>J9*'INDICES '!$L$5/'INDICES '!$J$5/1000</f>
        <v>0.6552700087134357</v>
      </c>
      <c r="K22" s="15">
        <f>K9*'INDICES '!$L$5/'INDICES '!$J$5/1000</f>
        <v>0.6882628872784473</v>
      </c>
      <c r="L22" s="15">
        <f>L9*'INDICES '!$L$5/'INDICES '!$J$5/1000</f>
        <v>0.6946105113863884</v>
      </c>
      <c r="M22" s="15">
        <f>M9*'INDICES '!$L$5/'INDICES '!$J$5/1000</f>
        <v>0.7047686408249024</v>
      </c>
      <c r="N22" s="15">
        <f>N9*'INDICES '!$L$5/'INDICES '!$J$5/1000</f>
        <v>0.7216343493947271</v>
      </c>
      <c r="O22" s="15">
        <f>O9*'INDICES '!$L$5/'INDICES '!$J$5/1000</f>
        <v>0.7216147058066276</v>
      </c>
      <c r="P22" s="15">
        <f>P9*'INDICES '!$L$5/'INDICES '!$J$5/1000</f>
        <v>0.6565308563886734</v>
      </c>
      <c r="Q22" s="36">
        <f>Q9*'INDICES '!$L$5/'INDICES '!$J$5/1000</f>
        <v>0.6565308563886734</v>
      </c>
    </row>
    <row r="23" spans="1:17" ht="15">
      <c r="A23" s="170" t="s">
        <v>151</v>
      </c>
      <c r="B23" s="7">
        <f t="shared" si="0"/>
        <v>0.028732389539316443</v>
      </c>
      <c r="C23" s="15"/>
      <c r="D23" s="250">
        <f>D10*'INDICES '!$L$7/'INDICES '!$J$7/1000</f>
        <v>0.7266660472494476</v>
      </c>
      <c r="E23" s="250">
        <f>E10*'INDICES '!$L$7/'INDICES '!$J$7/1000</f>
        <v>0.5731522859894623</v>
      </c>
      <c r="F23" s="250">
        <f>F10*'INDICES '!$L$7/'INDICES '!$J$7/1000</f>
        <v>0.643080312730157</v>
      </c>
      <c r="G23" s="250">
        <f>G10*'INDICES '!$L$7/'INDICES '!$J$7/1000</f>
        <v>0.6806583592997565</v>
      </c>
      <c r="H23" s="15">
        <f>H10*'INDICES '!$L$7/'INDICES '!$J$7/1000</f>
        <v>0</v>
      </c>
      <c r="I23" s="15">
        <f>I10*'INDICES '!$L$7/'INDICES '!$J$7/1000</f>
        <v>0</v>
      </c>
      <c r="J23" s="15">
        <f>J10*'INDICES '!$L$7/'INDICES '!$J$7/1000</f>
        <v>0</v>
      </c>
      <c r="K23" s="15">
        <f>K10*'INDICES '!$L$7/'INDICES '!$J$7/1000</f>
        <v>0</v>
      </c>
      <c r="L23" s="15">
        <f>L10*'INDICES '!$L$7/'INDICES '!$J$7/1000</f>
        <v>0</v>
      </c>
      <c r="M23" s="15">
        <f>M10*'INDICES '!$L$7/'INDICES '!$J$7/1000</f>
        <v>0</v>
      </c>
      <c r="N23" s="15">
        <f>N10*'INDICES '!$L$7/'INDICES '!$J$7/1000</f>
        <v>0</v>
      </c>
      <c r="O23" s="15">
        <f>O10*'INDICES '!$L$7/'INDICES '!$J$7/1000</f>
        <v>0</v>
      </c>
      <c r="P23" s="15">
        <f>P10*'INDICES '!$L$7/'INDICES '!$J$7/1000</f>
        <v>0.6785232564343118</v>
      </c>
      <c r="Q23" s="36">
        <f>Q10*'INDICES '!$L$7/'INDICES '!$J$7/1000</f>
        <v>0.6785232564343118</v>
      </c>
    </row>
    <row r="24" spans="1:17" ht="15">
      <c r="A24" s="170" t="s">
        <v>148</v>
      </c>
      <c r="B24" s="7">
        <f t="shared" si="0"/>
        <v>0.8137477822098225</v>
      </c>
      <c r="C24" s="15"/>
      <c r="D24" s="250">
        <f>D11*'INDICES '!$L$6/'INDICES '!$J$6/1000</f>
        <v>0</v>
      </c>
      <c r="E24" s="250">
        <f>E11*'INDICES '!$L$6/'INDICES '!$J$6/1000</f>
        <v>0</v>
      </c>
      <c r="F24" s="250">
        <f>F11*'INDICES '!$L$6/'INDICES '!$J$6/1000</f>
        <v>0.5705907940637379</v>
      </c>
      <c r="G24" s="250">
        <f>G11*'INDICES '!$L$6/'INDICES '!$J$6/1000</f>
        <v>0.7222318488736474</v>
      </c>
      <c r="H24" s="15">
        <f>H11*'INDICES '!$L$6/'INDICES '!$J$6/1000</f>
        <v>0</v>
      </c>
      <c r="I24" s="15">
        <f>I11*'INDICES '!$L$6/'INDICES '!$J$6/1000</f>
        <v>0</v>
      </c>
      <c r="J24" s="15">
        <f>J11*'INDICES '!$L$6/'INDICES '!$J$6/1000</f>
        <v>0</v>
      </c>
      <c r="K24" s="15">
        <f>K11*'INDICES '!$L$6/'INDICES '!$J$6/1000</f>
        <v>0</v>
      </c>
      <c r="L24" s="15">
        <f>L11*'INDICES '!$L$6/'INDICES '!$J$6/1000</f>
        <v>0</v>
      </c>
      <c r="M24" s="15">
        <f>M11*'INDICES '!$L$6/'INDICES '!$J$6/1000</f>
        <v>0</v>
      </c>
      <c r="N24" s="15">
        <f>N11*'INDICES '!$L$6/'INDICES '!$J$6/1000</f>
        <v>0</v>
      </c>
      <c r="O24" s="15">
        <f>O11*'INDICES '!$L$6/'INDICES '!$J$6/1000</f>
        <v>0</v>
      </c>
      <c r="P24" s="15">
        <f>P11*'INDICES '!$L$6/'INDICES '!$J$6/1000</f>
        <v>0.7151275795466298</v>
      </c>
      <c r="Q24" s="36">
        <f>Q11*'INDICES '!$L$6/'INDICES '!$J$6/1000</f>
        <v>0.7151275795466298</v>
      </c>
    </row>
    <row r="25" spans="1:17" ht="15">
      <c r="A25" s="170" t="s">
        <v>149</v>
      </c>
      <c r="B25" s="7">
        <f t="shared" si="0"/>
        <v>36.630664949571376</v>
      </c>
      <c r="C25" s="15"/>
      <c r="D25" s="250">
        <f>D12*'INDICES '!$L$6/'INDICES '!$J$6/1000</f>
        <v>0.49592979956246674</v>
      </c>
      <c r="E25" s="250">
        <f>E12*'INDICES '!$L$6/'INDICES '!$J$6/1000</f>
        <v>0.5084761071365221</v>
      </c>
      <c r="F25" s="250">
        <f>F12*'INDICES '!$L$6/'INDICES '!$J$6/1000</f>
        <v>0.5848407851948205</v>
      </c>
      <c r="G25" s="250">
        <f>G12*'INDICES '!$L$6/'INDICES '!$J$6/1000</f>
        <v>0.5982462780109974</v>
      </c>
      <c r="H25" s="15">
        <f>H12*'INDICES '!$L$6/'INDICES '!$J$6/1000</f>
        <v>0.5919249524846107</v>
      </c>
      <c r="I25" s="15">
        <f>I12*'INDICES '!$L$6/'INDICES '!$J$6/1000</f>
        <v>0.602406516370926</v>
      </c>
      <c r="J25" s="15">
        <f>J12*'INDICES '!$L$6/'INDICES '!$J$6/1000</f>
        <v>0.6218461435844014</v>
      </c>
      <c r="K25" s="15">
        <f>K12*'INDICES '!$L$6/'INDICES '!$J$6/1000</f>
        <v>0.6397652692555699</v>
      </c>
      <c r="L25" s="15">
        <f>L12*'INDICES '!$L$6/'INDICES '!$J$6/1000</f>
        <v>0.6500428999961714</v>
      </c>
      <c r="M25" s="15">
        <f>M12*'INDICES '!$L$6/'INDICES '!$J$6/1000</f>
        <v>0.659528790288708</v>
      </c>
      <c r="N25" s="15">
        <f>N12*'INDICES '!$L$6/'INDICES '!$J$6/1000</f>
        <v>0.6761699478124011</v>
      </c>
      <c r="O25" s="15">
        <f>O12*'INDICES '!$L$6/'INDICES '!$J$6/1000</f>
        <v>0.6749856197126942</v>
      </c>
      <c r="P25" s="15">
        <f>P12*'INDICES '!$L$6/'INDICES '!$J$6/1000</f>
        <v>0.6073782167771657</v>
      </c>
      <c r="Q25" s="36">
        <f>Q12*'INDICES '!$L$6/'INDICES '!$J$6/1000</f>
        <v>0.6073782167771657</v>
      </c>
    </row>
    <row r="26" spans="1:17" ht="15">
      <c r="A26" s="8" t="s">
        <v>152</v>
      </c>
      <c r="B26" s="7">
        <f t="shared" si="0"/>
        <v>1.2491798357139334</v>
      </c>
      <c r="C26" s="15"/>
      <c r="D26" s="250">
        <f>D13*'INDICES '!$L$8/'INDICES '!$J$8/1000</f>
        <v>0.5991899130846096</v>
      </c>
      <c r="E26" s="250">
        <f>E13*'INDICES '!$L$8/'INDICES '!$J$8/1000</f>
        <v>0.5283915804410808</v>
      </c>
      <c r="F26" s="250">
        <f>F13*'INDICES '!$L$8/'INDICES '!$J$8/1000</f>
        <v>0.5999793354224561</v>
      </c>
      <c r="G26" s="250">
        <f>G13*'INDICES '!$L$8/'INDICES '!$J$8/1000</f>
        <v>0.6212313191036481</v>
      </c>
      <c r="H26" s="15">
        <f>H13*'INDICES '!$L$8/'INDICES '!$J$8/1000</f>
        <v>0</v>
      </c>
      <c r="I26" s="15">
        <f>I13*'INDICES '!$L$8/'INDICES '!$J$8/1000</f>
        <v>0</v>
      </c>
      <c r="J26" s="15">
        <f>J13*'INDICES '!$L$8/'INDICES '!$J$8/1000</f>
        <v>0</v>
      </c>
      <c r="K26" s="15">
        <f>K13*'INDICES '!$L$8/'INDICES '!$J$8/1000</f>
        <v>0</v>
      </c>
      <c r="L26" s="15">
        <f>L13*'INDICES '!$L$8/'INDICES '!$J$8/1000</f>
        <v>0</v>
      </c>
      <c r="M26" s="15">
        <f>M13*'INDICES '!$L$8/'INDICES '!$J$8/1000</f>
        <v>0</v>
      </c>
      <c r="N26" s="15">
        <f>N13*'INDICES '!$L$8/'INDICES '!$J$8/1000</f>
        <v>0</v>
      </c>
      <c r="O26" s="15">
        <f>O13*'INDICES '!$L$8/'INDICES '!$J$8/1000</f>
        <v>0</v>
      </c>
      <c r="P26" s="15">
        <f>P13*'INDICES '!$L$8/'INDICES '!$J$8/1000</f>
        <v>0.5712163118068848</v>
      </c>
      <c r="Q26" s="36">
        <f>Q13*'INDICES '!$L$8/'INDICES '!$J$8/1000</f>
        <v>0.5712163118068847</v>
      </c>
    </row>
    <row r="27" spans="1:17" ht="4.5" customHeight="1">
      <c r="A27" s="12"/>
      <c r="D27" s="249"/>
      <c r="E27" s="249"/>
      <c r="F27" s="249"/>
      <c r="G27" s="249"/>
      <c r="H27" s="1"/>
      <c r="I27" s="1"/>
      <c r="J27" s="1"/>
      <c r="K27" s="1"/>
      <c r="L27" s="1"/>
      <c r="M27" s="1"/>
      <c r="N27" s="1"/>
      <c r="O27" s="1"/>
      <c r="Q27" s="102"/>
    </row>
    <row r="28" spans="1:17" ht="15.75" thickBot="1">
      <c r="A28" s="13" t="s">
        <v>5</v>
      </c>
      <c r="B28" s="103"/>
      <c r="C28" s="104"/>
      <c r="D28" s="251">
        <f>SUMPRODUCT(MIX!C28:C35,PREÇOS!D19:D26)</f>
        <v>0.5565169112740198</v>
      </c>
      <c r="E28" s="251">
        <f>SUMPRODUCT(MIX!D28:D35,PREÇOS!E19:E26)</f>
        <v>0.6075147900007427</v>
      </c>
      <c r="F28" s="251">
        <f>SUMPRODUCT(MIX!E28:E35,PREÇOS!F19:F26)</f>
        <v>0.6444581630063546</v>
      </c>
      <c r="G28" s="251">
        <f>SUMPRODUCT(MIX!F28:F35,PREÇOS!G19:G26)</f>
        <v>0.6766566265303049</v>
      </c>
      <c r="H28" s="104">
        <f>SUMPRODUCT(MIX!G28:G35,PREÇOS!H19:H26)</f>
        <v>0.7100483865211104</v>
      </c>
      <c r="I28" s="104">
        <f>SUMPRODUCT(MIX!H28:H35,PREÇOS!I19:I26)</f>
        <v>0.7097130275477437</v>
      </c>
      <c r="J28" s="104">
        <f>SUMPRODUCT(MIX!I28:I35,PREÇOS!J19:J26)</f>
        <v>0.7129720576392338</v>
      </c>
      <c r="K28" s="104">
        <f>SUMPRODUCT(MIX!J28:J35,PREÇOS!K19:K26)</f>
        <v>0.7349885161513994</v>
      </c>
      <c r="L28" s="104">
        <f>SUMPRODUCT(MIX!K28:K35,PREÇOS!L19:L26)</f>
        <v>0.7430356608742728</v>
      </c>
      <c r="M28" s="104">
        <f>SUMPRODUCT(MIX!L28:L35,PREÇOS!M19:M26)</f>
        <v>0.7365650364577898</v>
      </c>
      <c r="N28" s="104">
        <f>SUMPRODUCT(MIX!M28:M35,PREÇOS!N19:N26)</f>
        <v>0.7418452688273586</v>
      </c>
      <c r="O28" s="104">
        <f>SUMPRODUCT(MIX!N28:N35,PREÇOS!O19:O26)</f>
        <v>0.7071759664787478</v>
      </c>
      <c r="P28" s="104">
        <f>SUMPRODUCT(MIX!O28:O35,PREÇOS!P19:P26)</f>
        <v>0</v>
      </c>
      <c r="Q28" s="105">
        <f>SUMPRODUCT(MIX!P39:P46,PREÇOS!Q19:Q26)</f>
        <v>0.6974522222798675</v>
      </c>
    </row>
    <row r="29" spans="1:17" ht="15">
      <c r="A29" s="173" t="s">
        <v>168</v>
      </c>
      <c r="B29" s="175">
        <f>PREÇOS!B14</f>
        <v>19.40489787095272</v>
      </c>
      <c r="C29" s="179"/>
      <c r="D29" s="252">
        <f>PREÇOS!D14*'INDICES '!$L$5/'INDICES '!$J$5/1000</f>
        <v>0.584265143172891</v>
      </c>
      <c r="E29" s="252">
        <f>PREÇOS!E14*'INDICES '!$L$5/'INDICES '!$J$5/1000</f>
        <v>0.5480702644354588</v>
      </c>
      <c r="F29" s="252">
        <f>PREÇOS!F14*'INDICES '!$L$5/'INDICES '!$J$5/1000</f>
        <v>0.6331415175726567</v>
      </c>
      <c r="G29" s="252">
        <f>PREÇOS!G14*'INDICES '!$L$5/'INDICES '!$J$5/1000</f>
        <v>0.6397578631304719</v>
      </c>
      <c r="H29" s="179">
        <f>PREÇOS!H14*'INDICES '!$L$5/'INDICES '!$J$5/1000</f>
        <v>0.6298933193190094</v>
      </c>
      <c r="I29" s="179">
        <f>PREÇOS!I14*'INDICES '!$L$5/'INDICES '!$J$5/1000</f>
        <v>0.6388424444854955</v>
      </c>
      <c r="J29" s="179">
        <f>PREÇOS!J14*'INDICES '!$L$5/'INDICES '!$J$5/1000</f>
        <v>0.6552700087134357</v>
      </c>
      <c r="K29" s="179">
        <f>PREÇOS!K14*'INDICES '!$L$5/'INDICES '!$J$5/1000</f>
        <v>0.6882628872784473</v>
      </c>
      <c r="L29" s="179">
        <f>PREÇOS!L14*'INDICES '!$L$5/'INDICES '!$J$5/1000</f>
        <v>0.6946105113863884</v>
      </c>
      <c r="M29" s="179">
        <f>PREÇOS!M14*'INDICES '!$L$5/'INDICES '!$J$5/1000</f>
        <v>0.7047686408249024</v>
      </c>
      <c r="N29" s="179">
        <f>PREÇOS!N14*'INDICES '!$L$5/'INDICES '!$J$5/1000</f>
        <v>0.7216343493947271</v>
      </c>
      <c r="O29" s="179">
        <f>PREÇOS!O14*'INDICES '!$L$5/'INDICES '!$J$5/1000</f>
        <v>0.7216147058066276</v>
      </c>
      <c r="P29" s="179">
        <f>PREÇOS!P14*'INDICES '!$L$5/'INDICES '!$J$5/1000</f>
        <v>0.6510682353981765</v>
      </c>
      <c r="Q29" s="181">
        <f>PREÇOS!Q14*'INDICES '!$L$5/'INDICES '!$J$5/1000</f>
        <v>0.6561336283598781</v>
      </c>
    </row>
    <row r="30" spans="1:17" ht="15">
      <c r="A30" s="173" t="s">
        <v>169</v>
      </c>
      <c r="B30" s="175">
        <f>PREÇOS!B15</f>
        <v>38.69359256749513</v>
      </c>
      <c r="C30" s="179"/>
      <c r="D30" s="252">
        <f>PREÇOS!D15*'INDICES '!$L$6/'INDICES '!$J$6/1000</f>
        <v>0.5067175213926053</v>
      </c>
      <c r="E30" s="252">
        <f>PREÇOS!E15*'INDICES '!$L$6/'INDICES '!$J$6/1000</f>
        <v>0.5123810431540643</v>
      </c>
      <c r="F30" s="252">
        <f>PREÇOS!F15*'INDICES '!$L$6/'INDICES '!$J$6/1000</f>
        <v>0.5869229870570355</v>
      </c>
      <c r="G30" s="252">
        <f>PREÇOS!G15*'INDICES '!$L$6/'INDICES '!$J$6/1000</f>
        <v>0.6226757869955397</v>
      </c>
      <c r="H30" s="179">
        <f>PREÇOS!H15*'INDICES '!$L$6/'INDICES '!$J$6/1000</f>
        <v>0.5919249524846107</v>
      </c>
      <c r="I30" s="179">
        <f>PREÇOS!I15*'INDICES '!$L$6/'INDICES '!$J$6/1000</f>
        <v>0.602406516370926</v>
      </c>
      <c r="J30" s="179">
        <f>PREÇOS!J15*'INDICES '!$L$6/'INDICES '!$J$6/1000</f>
        <v>0.6218461435844014</v>
      </c>
      <c r="K30" s="179">
        <f>PREÇOS!K15*'INDICES '!$L$6/'INDICES '!$J$6/1000</f>
        <v>0.6397652692555699</v>
      </c>
      <c r="L30" s="179">
        <f>PREÇOS!L15*'INDICES '!$L$6/'INDICES '!$J$6/1000</f>
        <v>0.6500428999961714</v>
      </c>
      <c r="M30" s="179">
        <f>PREÇOS!M15*'INDICES '!$L$6/'INDICES '!$J$6/1000</f>
        <v>0.659528790288708</v>
      </c>
      <c r="N30" s="179">
        <f>PREÇOS!N15*'INDICES '!$L$6/'INDICES '!$J$6/1000</f>
        <v>0.6761699478124011</v>
      </c>
      <c r="O30" s="179">
        <f>PREÇOS!O15*'INDICES '!$L$6/'INDICES '!$J$6/1000</f>
        <v>0.6749856197126942</v>
      </c>
      <c r="P30" s="179">
        <f>PREÇOS!P15*'INDICES '!$L$6/'INDICES '!$J$6/1000</f>
        <v>0.6312407027102267</v>
      </c>
      <c r="Q30" s="181">
        <f>PREÇOS!Q15*'INDICES '!$L$6/'INDICES '!$J$6/1000</f>
        <v>0.6084767987298274</v>
      </c>
    </row>
    <row r="31" spans="4:15" ht="8.25" customHeight="1" thickBot="1">
      <c r="D31" s="249"/>
      <c r="E31" s="249"/>
      <c r="F31" s="249"/>
      <c r="G31" s="249"/>
      <c r="H31" s="1"/>
      <c r="I31" s="1"/>
      <c r="J31" s="1"/>
      <c r="K31" s="1"/>
      <c r="L31" s="1"/>
      <c r="M31" s="1"/>
      <c r="N31" s="1"/>
      <c r="O31" s="1"/>
    </row>
    <row r="32" spans="1:17" ht="15">
      <c r="A32" s="106" t="s">
        <v>6</v>
      </c>
      <c r="B32" s="107"/>
      <c r="C32" s="108"/>
      <c r="D32" s="253">
        <v>121.9676</v>
      </c>
      <c r="E32" s="253" t="s">
        <v>7</v>
      </c>
      <c r="F32" s="253"/>
      <c r="G32" s="253"/>
      <c r="H32" s="107"/>
      <c r="I32" s="107"/>
      <c r="J32" s="107"/>
      <c r="K32" s="107"/>
      <c r="L32" s="107"/>
      <c r="M32" s="107"/>
      <c r="N32" s="107"/>
      <c r="O32" s="107"/>
      <c r="P32" s="107"/>
      <c r="Q32" s="109"/>
    </row>
    <row r="33" spans="1:17" ht="15">
      <c r="A33" s="110" t="s">
        <v>53</v>
      </c>
      <c r="B33" s="111" t="s">
        <v>60</v>
      </c>
      <c r="C33" s="112"/>
      <c r="D33" s="254">
        <f aca="true" t="shared" si="1" ref="D33:P33">D28*$D$32*0.8953</f>
        <v>60.77030677422535</v>
      </c>
      <c r="E33" s="254">
        <f t="shared" si="1"/>
        <v>66.33915234257093</v>
      </c>
      <c r="F33" s="254">
        <f t="shared" si="1"/>
        <v>70.3732797254857</v>
      </c>
      <c r="G33" s="254">
        <f t="shared" si="1"/>
        <v>73.88927441741646</v>
      </c>
      <c r="H33" s="113">
        <f t="shared" si="1"/>
        <v>77.53557421040406</v>
      </c>
      <c r="I33" s="113">
        <f t="shared" si="1"/>
        <v>77.49895381796293</v>
      </c>
      <c r="J33" s="113">
        <f t="shared" si="1"/>
        <v>77.85483205712171</v>
      </c>
      <c r="K33" s="113">
        <f t="shared" si="1"/>
        <v>80.2589763171827</v>
      </c>
      <c r="L33" s="113">
        <f t="shared" si="1"/>
        <v>81.13770514564919</v>
      </c>
      <c r="M33" s="113">
        <f t="shared" si="1"/>
        <v>80.43112853882107</v>
      </c>
      <c r="N33" s="113">
        <f>N28*$D$32*0.8953</f>
        <v>81.00771720025689</v>
      </c>
      <c r="O33" s="113">
        <f>O28*$D$32*0.8953</f>
        <v>77.22191285776125</v>
      </c>
      <c r="P33" s="113">
        <f t="shared" si="1"/>
        <v>0</v>
      </c>
      <c r="Q33" s="114">
        <f>ROUND(ROUND(Q28,4)*$D$32*0.8953,2)</f>
        <v>76.17</v>
      </c>
    </row>
    <row r="34" spans="1:17" ht="15">
      <c r="A34" s="115" t="s">
        <v>59</v>
      </c>
      <c r="B34" s="1" t="s">
        <v>61</v>
      </c>
      <c r="C34" s="116"/>
      <c r="D34" s="254">
        <f aca="true" t="shared" si="2" ref="D34:P34">D33/0.9635</f>
        <v>63.07245124465526</v>
      </c>
      <c r="E34" s="254">
        <f t="shared" si="2"/>
        <v>68.85225982622826</v>
      </c>
      <c r="F34" s="254">
        <f t="shared" si="2"/>
        <v>73.03921092421972</v>
      </c>
      <c r="G34" s="254">
        <f t="shared" si="2"/>
        <v>76.68840105595896</v>
      </c>
      <c r="H34" s="113">
        <f t="shared" si="2"/>
        <v>80.47283260031558</v>
      </c>
      <c r="I34" s="113">
        <f t="shared" si="2"/>
        <v>80.43482492782867</v>
      </c>
      <c r="J34" s="113">
        <f t="shared" si="2"/>
        <v>80.80418480240967</v>
      </c>
      <c r="K34" s="113">
        <f t="shared" si="2"/>
        <v>83.29940458451759</v>
      </c>
      <c r="L34" s="113">
        <f t="shared" si="2"/>
        <v>84.21142205049216</v>
      </c>
      <c r="M34" s="113">
        <f t="shared" si="2"/>
        <v>83.47807840043701</v>
      </c>
      <c r="N34" s="113">
        <f t="shared" si="2"/>
        <v>84.07650980825832</v>
      </c>
      <c r="O34" s="113">
        <f t="shared" si="2"/>
        <v>80.14728890271017</v>
      </c>
      <c r="P34" s="113">
        <f t="shared" si="2"/>
        <v>0</v>
      </c>
      <c r="Q34" s="114">
        <f>ROUND(Q33/0.9635,2)</f>
        <v>79.06</v>
      </c>
    </row>
    <row r="35" spans="1:17" ht="15">
      <c r="A35" s="110" t="s">
        <v>53</v>
      </c>
      <c r="B35" s="111" t="s">
        <v>60</v>
      </c>
      <c r="C35" s="112"/>
      <c r="D35" s="254">
        <f>+D28*$D$32</f>
        <v>67.87703202750514</v>
      </c>
      <c r="E35" s="254">
        <f>E28*$D$32</f>
        <v>74.0971209008946</v>
      </c>
      <c r="F35" s="254">
        <f aca="true" t="shared" si="3" ref="F35:P35">F28*$D$32</f>
        <v>78.60301544229387</v>
      </c>
      <c r="G35" s="254">
        <f t="shared" si="3"/>
        <v>82.53018476199762</v>
      </c>
      <c r="H35" s="113">
        <f t="shared" si="3"/>
        <v>86.60289758785218</v>
      </c>
      <c r="I35" s="113">
        <f t="shared" si="3"/>
        <v>86.56199465873219</v>
      </c>
      <c r="J35" s="113">
        <f t="shared" si="3"/>
        <v>86.95949073731902</v>
      </c>
      <c r="K35" s="113">
        <f t="shared" si="3"/>
        <v>89.64478534254742</v>
      </c>
      <c r="L35" s="113">
        <f t="shared" si="3"/>
        <v>90.62627627124895</v>
      </c>
      <c r="M35" s="113">
        <f t="shared" si="3"/>
        <v>89.83706974066912</v>
      </c>
      <c r="N35" s="113">
        <f>N28*$D$32</f>
        <v>90.48108701022774</v>
      </c>
      <c r="O35" s="113">
        <f>O28*$D$32</f>
        <v>86.25255540909332</v>
      </c>
      <c r="P35" s="113">
        <f t="shared" si="3"/>
        <v>0</v>
      </c>
      <c r="Q35" s="114">
        <f>ROUND(ROUND(Q28,4)*$D$32,2)</f>
        <v>85.07</v>
      </c>
    </row>
    <row r="36" spans="1:17" ht="15.75" thickBot="1">
      <c r="A36" s="117" t="s">
        <v>62</v>
      </c>
      <c r="B36" s="118" t="s">
        <v>61</v>
      </c>
      <c r="C36" s="119"/>
      <c r="D36" s="255">
        <f aca="true" t="shared" si="4" ref="D36:P36">D35/0.9635</f>
        <v>70.4483985755113</v>
      </c>
      <c r="E36" s="255">
        <f t="shared" si="4"/>
        <v>76.90412132941836</v>
      </c>
      <c r="F36" s="255">
        <f t="shared" si="4"/>
        <v>81.58071140871185</v>
      </c>
      <c r="G36" s="255">
        <f t="shared" si="4"/>
        <v>85.65665258121184</v>
      </c>
      <c r="H36" s="120">
        <f t="shared" si="4"/>
        <v>89.88365084364523</v>
      </c>
      <c r="I36" s="120">
        <f t="shared" si="4"/>
        <v>89.84119840034477</v>
      </c>
      <c r="J36" s="120">
        <f t="shared" si="4"/>
        <v>90.25375271128077</v>
      </c>
      <c r="K36" s="120">
        <f t="shared" si="4"/>
        <v>93.0407735781499</v>
      </c>
      <c r="L36" s="120">
        <f t="shared" si="4"/>
        <v>94.05944605215252</v>
      </c>
      <c r="M36" s="120">
        <f t="shared" si="4"/>
        <v>93.24034223214231</v>
      </c>
      <c r="N36" s="120">
        <f t="shared" si="4"/>
        <v>93.90875662711753</v>
      </c>
      <c r="O36" s="120">
        <f t="shared" si="4"/>
        <v>89.52003675048606</v>
      </c>
      <c r="P36" s="120">
        <f t="shared" si="4"/>
        <v>0</v>
      </c>
      <c r="Q36" s="121">
        <f>ROUND(Q35/0.9635,2)</f>
        <v>88.29</v>
      </c>
    </row>
    <row r="37" spans="3:17" ht="9" customHeight="1">
      <c r="C37" s="122"/>
      <c r="D37" s="241"/>
      <c r="E37" s="241"/>
      <c r="F37" s="241"/>
      <c r="G37" s="241"/>
      <c r="H37" s="234"/>
      <c r="I37" s="234"/>
      <c r="J37" s="234"/>
      <c r="K37" s="234"/>
      <c r="L37" s="241"/>
      <c r="M37" s="241"/>
      <c r="N37" s="241"/>
      <c r="O37" s="241"/>
      <c r="P37" s="122"/>
      <c r="Q37" s="122"/>
    </row>
    <row r="39" spans="4:15" ht="15">
      <c r="D39" s="242"/>
      <c r="E39" s="242"/>
      <c r="F39" s="242"/>
      <c r="G39" s="242"/>
      <c r="H39" s="235"/>
      <c r="I39" s="235"/>
      <c r="J39" s="235"/>
      <c r="K39" s="235"/>
      <c r="L39" s="242"/>
      <c r="M39" s="242"/>
      <c r="N39" s="242"/>
      <c r="O39" s="242"/>
    </row>
    <row r="42" ht="15">
      <c r="H42" s="236"/>
    </row>
    <row r="43" spans="8:15" ht="15">
      <c r="H43" s="236"/>
      <c r="I43" s="236"/>
      <c r="J43" s="236"/>
      <c r="K43" s="236"/>
      <c r="L43" s="236"/>
      <c r="M43" s="236"/>
      <c r="N43" s="236"/>
      <c r="O43" s="236">
        <f>O11*$H41</f>
        <v>0</v>
      </c>
    </row>
  </sheetData>
  <sheetProtection/>
  <printOptions/>
  <pageMargins left="0.7874015748031497" right="0.4724409448818898" top="0.5118110236220472" bottom="0.984251968503937" header="0.5118110236220472" footer="0.5118110236220472"/>
  <pageSetup fitToHeight="1" fitToWidth="1" horizontalDpi="300" verticalDpi="300" orientation="landscape" paperSize="9" scale="65" r:id="rId1"/>
  <headerFooter alignWithMargins="0">
    <oddFooter>&amp;R&amp;D&amp;F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J45"/>
  <sheetViews>
    <sheetView tabSelected="1" zoomScalePageLayoutView="0" workbookViewId="0" topLeftCell="A28">
      <selection activeCell="D11" sqref="D11"/>
    </sheetView>
  </sheetViews>
  <sheetFormatPr defaultColWidth="9.140625" defaultRowHeight="12.75"/>
  <cols>
    <col min="1" max="1" width="5.140625" style="1" customWidth="1"/>
    <col min="2" max="2" width="21.140625" style="1" customWidth="1"/>
    <col min="3" max="8" width="11.8515625" style="1" customWidth="1"/>
    <col min="9" max="16384" width="9.140625" style="1" customWidth="1"/>
  </cols>
  <sheetData>
    <row r="1" s="96" customFormat="1" ht="17.25"/>
    <row r="2" s="5" customFormat="1" ht="15">
      <c r="B2" s="86" t="str">
        <f>CONCATENATE("SAFRA ",'RES-I'!G3,"   -    PREÇOS EM REAIS A VISTA")</f>
        <v>SAFRA 2020/2021   -    PREÇOS EM REAIS A VISTA</v>
      </c>
    </row>
    <row r="3" ht="7.5" customHeight="1"/>
    <row r="4" s="5" customFormat="1" ht="15.75" thickBot="1">
      <c r="B4" s="5" t="s">
        <v>19</v>
      </c>
    </row>
    <row r="5" spans="2:8" ht="15">
      <c r="B5" s="257" t="s">
        <v>18</v>
      </c>
      <c r="C5" s="261" t="s">
        <v>51</v>
      </c>
      <c r="D5" s="262"/>
      <c r="E5" s="261" t="s">
        <v>54</v>
      </c>
      <c r="F5" s="262"/>
      <c r="G5" s="261" t="s">
        <v>109</v>
      </c>
      <c r="H5" s="263"/>
    </row>
    <row r="6" spans="2:8" ht="15">
      <c r="B6" s="258"/>
      <c r="C6" s="146" t="s">
        <v>0</v>
      </c>
      <c r="D6" s="148" t="s">
        <v>79</v>
      </c>
      <c r="E6" s="149" t="s">
        <v>0</v>
      </c>
      <c r="F6" s="148" t="s">
        <v>79</v>
      </c>
      <c r="G6" s="149" t="s">
        <v>0</v>
      </c>
      <c r="H6" s="147" t="s">
        <v>79</v>
      </c>
    </row>
    <row r="7" spans="2:8" ht="15">
      <c r="B7" s="8" t="s">
        <v>1</v>
      </c>
      <c r="C7" s="151">
        <f>ATR!C7</f>
        <v>0.02500632471513311</v>
      </c>
      <c r="D7" s="150">
        <f>ATR!D7</f>
        <v>60.62</v>
      </c>
      <c r="E7" s="151">
        <f>ATR!E7</f>
        <v>0.024769929553519154</v>
      </c>
      <c r="F7" s="150">
        <f>ATR!F7</f>
        <v>62.283085699866504</v>
      </c>
      <c r="G7" s="6">
        <f>+MIX!P39</f>
        <v>0.006563700858264647</v>
      </c>
      <c r="H7" s="100">
        <f>+MIX!P83</f>
        <v>62.283085699866504</v>
      </c>
    </row>
    <row r="8" spans="2:8" ht="15">
      <c r="B8" s="8" t="s">
        <v>2</v>
      </c>
      <c r="C8" s="151">
        <f>ATR!C8</f>
        <v>0.3040679284929377</v>
      </c>
      <c r="D8" s="150">
        <f>ATR!D8</f>
        <v>68.69</v>
      </c>
      <c r="E8" s="151">
        <f>ATR!E8</f>
        <v>0.2841485539705261</v>
      </c>
      <c r="F8" s="150">
        <f>ATR!F8</f>
        <v>64.8693724295975</v>
      </c>
      <c r="G8" s="6">
        <f>+MIX!P40</f>
        <v>0.4124513959559958</v>
      </c>
      <c r="H8" s="100">
        <f>+MIX!P84</f>
        <v>70.2918948565264</v>
      </c>
    </row>
    <row r="9" spans="2:8" ht="15">
      <c r="B9" s="170" t="s">
        <v>146</v>
      </c>
      <c r="C9" s="151">
        <f>ATR!C9</f>
        <v>0.017767773884031186</v>
      </c>
      <c r="D9" s="150">
        <f>ATR!D9</f>
        <v>1792.02</v>
      </c>
      <c r="E9" s="151">
        <f>ATR!E9</f>
        <v>0.008200442884081728</v>
      </c>
      <c r="F9" s="150">
        <f>ATR!F9</f>
        <v>1757.000986087139</v>
      </c>
      <c r="G9" s="6">
        <f>+MIX!P41</f>
        <v>0.002173007956284248</v>
      </c>
      <c r="H9" s="100">
        <f>+MIX!P85</f>
        <v>1757.000986087139</v>
      </c>
    </row>
    <row r="10" spans="2:8" ht="15">
      <c r="B10" s="170" t="s">
        <v>147</v>
      </c>
      <c r="C10" s="151">
        <f>ATR!C10</f>
        <v>0.21087003792206324</v>
      </c>
      <c r="D10" s="150">
        <f>ATR!D10</f>
        <v>1820.11</v>
      </c>
      <c r="E10" s="151">
        <f>ATR!E10</f>
        <v>0.23497449071729296</v>
      </c>
      <c r="F10" s="150">
        <f>ATR!F10</f>
        <v>1727.2594253584532</v>
      </c>
      <c r="G10" s="6">
        <f>+MIX!P42</f>
        <v>0.19158864643819487</v>
      </c>
      <c r="H10" s="100">
        <f>+MIX!P86</f>
        <v>1866.0911668464528</v>
      </c>
    </row>
    <row r="11" spans="2:8" ht="15">
      <c r="B11" s="170" t="s">
        <v>151</v>
      </c>
      <c r="C11" s="201">
        <f>ATR!C11</f>
        <v>0.0009624054240189789</v>
      </c>
      <c r="D11" s="202">
        <f>ATR!D11</f>
        <v>1934.67</v>
      </c>
      <c r="E11" s="201">
        <f>ATR!E11</f>
        <v>0.0010842938700735773</v>
      </c>
      <c r="F11" s="202">
        <f>ATR!F11</f>
        <v>1928.6012881355932</v>
      </c>
      <c r="G11" s="6">
        <f>+MIX!P43</f>
        <v>0.00028732340922632543</v>
      </c>
      <c r="H11" s="100">
        <f>+MIX!P87</f>
        <v>1928.6012881355934</v>
      </c>
    </row>
    <row r="12" spans="2:8" ht="15">
      <c r="B12" s="173" t="s">
        <v>168</v>
      </c>
      <c r="C12" s="182">
        <f>ATR!C12</f>
        <v>0.22960021723011342</v>
      </c>
      <c r="D12" s="183">
        <f>ATR!D12</f>
        <v>1818.4164319027311</v>
      </c>
      <c r="E12" s="182">
        <f>ATR!E12</f>
        <v>0.24425922747144824</v>
      </c>
      <c r="F12" s="183">
        <f>ATR!F12</f>
        <v>1729.1517089066415</v>
      </c>
      <c r="G12" s="178">
        <f>'MIX-1'!P29</f>
        <v>0.19404897870952711</v>
      </c>
      <c r="H12" s="184">
        <f>'MIX-1'!P57</f>
        <v>1864.9621053430285</v>
      </c>
    </row>
    <row r="13" spans="2:8" ht="15">
      <c r="B13" s="170" t="s">
        <v>148</v>
      </c>
      <c r="C13" s="151">
        <f>ATR!C13</f>
        <v>0.08515652835865126</v>
      </c>
      <c r="D13" s="150">
        <f>ATR!D13</f>
        <v>1967.006</v>
      </c>
      <c r="E13" s="151">
        <f>ATR!E13</f>
        <v>0.030709007885576362</v>
      </c>
      <c r="F13" s="150">
        <f>ATR!F13</f>
        <v>1947.65744812756</v>
      </c>
      <c r="G13" s="6">
        <f>+MIX!P44</f>
        <v>0.008137477378750814</v>
      </c>
      <c r="H13" s="100">
        <f>+MIX!P88</f>
        <v>1947.65744812756</v>
      </c>
    </row>
    <row r="14" spans="2:8" ht="15">
      <c r="B14" s="170" t="s">
        <v>149</v>
      </c>
      <c r="C14" s="151">
        <f>ATR!C14</f>
        <v>0.3464589812206111</v>
      </c>
      <c r="D14" s="150">
        <f>ATR!D14</f>
        <v>1629.33</v>
      </c>
      <c r="E14" s="151">
        <f>ATR!E14</f>
        <v>0.36897204764233477</v>
      </c>
      <c r="F14" s="150">
        <f>ATR!F14</f>
        <v>1486.870761073827</v>
      </c>
      <c r="G14" s="6">
        <f>+MIX!P45</f>
        <v>0.36630665007703417</v>
      </c>
      <c r="H14" s="100">
        <f>+MIX!P89</f>
        <v>1654.2009308135596</v>
      </c>
    </row>
    <row r="15" spans="2:8" ht="15">
      <c r="B15" s="8" t="s">
        <v>152</v>
      </c>
      <c r="C15" s="201">
        <f>ATR!C15</f>
        <v>0.009710019982553393</v>
      </c>
      <c r="D15" s="202">
        <f>ATR!D15</f>
        <v>1691.93</v>
      </c>
      <c r="E15" s="201">
        <f>ATR!E15</f>
        <v>0.04714123347659546</v>
      </c>
      <c r="F15" s="202">
        <f>ATR!F15</f>
        <v>1555.7136041207477</v>
      </c>
      <c r="G15" s="6">
        <f>+MIX!P46</f>
        <v>0.012491797926248976</v>
      </c>
      <c r="H15" s="100">
        <f>+MIX!P90</f>
        <v>1555.7136041207475</v>
      </c>
    </row>
    <row r="16" spans="2:8" ht="15.75" thickBot="1">
      <c r="B16" s="173" t="s">
        <v>169</v>
      </c>
      <c r="C16" s="208">
        <f>ATR!C16</f>
        <v>0.44132552956181587</v>
      </c>
      <c r="D16" s="209">
        <f>ATR!D16</f>
        <v>1695.864023422796</v>
      </c>
      <c r="E16" s="208">
        <f>ATR!E16</f>
        <v>0.44682228900450655</v>
      </c>
      <c r="F16" s="209">
        <f>ATR!F16</f>
        <v>1525.802656307446</v>
      </c>
      <c r="G16" s="210">
        <f>'MIX-1'!P30</f>
        <v>0.38693592567495133</v>
      </c>
      <c r="H16" s="211">
        <f>'MIX-1'!P58</f>
        <v>1657.1929302604783</v>
      </c>
    </row>
    <row r="19" ht="9" customHeight="1">
      <c r="G19" s="3"/>
    </row>
    <row r="20" ht="15.75" thickBot="1">
      <c r="B20" s="1" t="s">
        <v>78</v>
      </c>
    </row>
    <row r="21" spans="2:8" s="16" customFormat="1" ht="15">
      <c r="B21" s="257" t="s">
        <v>18</v>
      </c>
      <c r="C21" s="261" t="s">
        <v>51</v>
      </c>
      <c r="D21" s="262"/>
      <c r="E21" s="261" t="s">
        <v>54</v>
      </c>
      <c r="F21" s="262"/>
      <c r="G21" s="261" t="s">
        <v>109</v>
      </c>
      <c r="H21" s="263"/>
    </row>
    <row r="22" spans="2:8" s="16" customFormat="1" ht="15">
      <c r="B22" s="258"/>
      <c r="C22" s="146" t="s">
        <v>0</v>
      </c>
      <c r="D22" s="148" t="s">
        <v>79</v>
      </c>
      <c r="E22" s="149" t="s">
        <v>0</v>
      </c>
      <c r="F22" s="148" t="s">
        <v>79</v>
      </c>
      <c r="G22" s="149" t="s">
        <v>0</v>
      </c>
      <c r="H22" s="147" t="s">
        <v>79</v>
      </c>
    </row>
    <row r="23" spans="2:8" ht="15">
      <c r="B23" s="8" t="s">
        <v>1</v>
      </c>
      <c r="C23" s="151">
        <f>ATR!C24</f>
        <v>0.02500632471513311</v>
      </c>
      <c r="D23" s="152">
        <f>ATR!D24</f>
        <v>0.6873539780848021</v>
      </c>
      <c r="E23" s="151">
        <f>ATR!E24</f>
        <v>0.024769929553519154</v>
      </c>
      <c r="F23" s="152">
        <f>ATR!F24</f>
        <v>0.7062112623424595</v>
      </c>
      <c r="G23" s="6">
        <f aca="true" t="shared" si="0" ref="G23:G32">+G7</f>
        <v>0.006563700858264647</v>
      </c>
      <c r="H23" s="36">
        <f>H7*'INDICES '!$L$3/'INDICES '!$J$3/1000*20</f>
        <v>0.7062112623424595</v>
      </c>
    </row>
    <row r="24" spans="2:8" ht="15">
      <c r="B24" s="8" t="s">
        <v>2</v>
      </c>
      <c r="C24" s="151">
        <f>ATR!C25</f>
        <v>0.3040679284929377</v>
      </c>
      <c r="D24" s="152">
        <f>ATR!D25</f>
        <v>0.7819869893810388</v>
      </c>
      <c r="E24" s="151">
        <f>ATR!E25</f>
        <v>0.2841485539705261</v>
      </c>
      <c r="F24" s="152">
        <f>ATR!F25</f>
        <v>0.7384918510592274</v>
      </c>
      <c r="G24" s="6">
        <f t="shared" si="0"/>
        <v>0.4124513959559958</v>
      </c>
      <c r="H24" s="36">
        <f>H8*'INDICES '!$L$4/'INDICES '!$J$4/1000*20</f>
        <v>0.8002234275257479</v>
      </c>
    </row>
    <row r="25" spans="2:8" ht="15">
      <c r="B25" s="170" t="s">
        <v>146</v>
      </c>
      <c r="C25" s="151">
        <f>ATR!C26</f>
        <v>0.017767773884031186</v>
      </c>
      <c r="D25" s="152">
        <f>ATR!D26</f>
        <v>0.630471032802674</v>
      </c>
      <c r="E25" s="151">
        <f>ATR!E26</f>
        <v>0.008200442884081728</v>
      </c>
      <c r="F25" s="152">
        <f>ATR!F26</f>
        <v>0.6181505933715445</v>
      </c>
      <c r="G25" s="6">
        <f t="shared" si="0"/>
        <v>0.002173007956284248</v>
      </c>
      <c r="H25" s="36">
        <f>H9*'INDICES '!$L$5/'INDICES '!$J$5/1000</f>
        <v>0.6181505933715445</v>
      </c>
    </row>
    <row r="26" spans="2:8" ht="15">
      <c r="B26" s="170" t="s">
        <v>147</v>
      </c>
      <c r="C26" s="151">
        <f>ATR!C27</f>
        <v>0.21087003792206324</v>
      </c>
      <c r="D26" s="152">
        <f>ATR!D27</f>
        <v>0.6403536966744093</v>
      </c>
      <c r="E26" s="151">
        <f>ATR!E27</f>
        <v>0.23497449071729296</v>
      </c>
      <c r="F26" s="152">
        <f>ATR!F27</f>
        <v>0.6076868750482123</v>
      </c>
      <c r="G26" s="6">
        <f t="shared" si="0"/>
        <v>0.19158864643819487</v>
      </c>
      <c r="H26" s="36">
        <f>H10*'INDICES '!$L$5/'INDICES '!$J$5/1000</f>
        <v>0.6565308563886734</v>
      </c>
    </row>
    <row r="27" spans="2:8" ht="15">
      <c r="B27" s="170" t="s">
        <v>151</v>
      </c>
      <c r="C27" s="151">
        <f>ATR!C28</f>
        <v>0.0009624054240189789</v>
      </c>
      <c r="D27" s="152">
        <f>ATR!D28</f>
        <v>0.6806583592997565</v>
      </c>
      <c r="E27" s="151">
        <f>ATR!E28</f>
        <v>0.0010842938700735773</v>
      </c>
      <c r="F27" s="152">
        <f>ATR!F28</f>
        <v>0.6785232564343118</v>
      </c>
      <c r="G27" s="6">
        <f t="shared" si="0"/>
        <v>0.00028732340922632543</v>
      </c>
      <c r="H27" s="36">
        <f>H11*'INDICES '!$L$7/'INDICES '!$J$7/1000</f>
        <v>0.6785232564343118</v>
      </c>
    </row>
    <row r="28" spans="2:8" ht="15">
      <c r="B28" s="173" t="s">
        <v>168</v>
      </c>
      <c r="C28" s="182">
        <f>ATR!C29</f>
        <v>0.22960021723011342</v>
      </c>
      <c r="D28" s="185">
        <f>ATR!D29</f>
        <v>0.6397578631304719</v>
      </c>
      <c r="E28" s="182">
        <f>ATR!E29</f>
        <v>0.24425922747144824</v>
      </c>
      <c r="F28" s="185">
        <f>ATR!F29</f>
        <v>0.6083526209455694</v>
      </c>
      <c r="G28" s="178">
        <f t="shared" si="0"/>
        <v>0.19404897870952711</v>
      </c>
      <c r="H28" s="181">
        <f>H12*'INDICES '!$L$5/'INDICES '!$J$5/1000</f>
        <v>0.6561336283598781</v>
      </c>
    </row>
    <row r="29" spans="2:8" ht="15">
      <c r="B29" s="170" t="s">
        <v>148</v>
      </c>
      <c r="C29" s="151">
        <f>ATR!C30</f>
        <v>0.08515652835865126</v>
      </c>
      <c r="D29" s="152">
        <f>ATR!D30</f>
        <v>0.7222318488736474</v>
      </c>
      <c r="E29" s="151">
        <f>ATR!E30</f>
        <v>0.030709007885576362</v>
      </c>
      <c r="F29" s="152">
        <f>ATR!F30</f>
        <v>0.7151275795466298</v>
      </c>
      <c r="G29" s="6">
        <f t="shared" si="0"/>
        <v>0.008137477378750814</v>
      </c>
      <c r="H29" s="36">
        <f>H13*'INDICES '!$L$6/'INDICES '!$J$6/1000</f>
        <v>0.7151275795466298</v>
      </c>
    </row>
    <row r="30" spans="2:8" ht="15">
      <c r="B30" s="170" t="s">
        <v>149</v>
      </c>
      <c r="C30" s="151">
        <f>ATR!C31</f>
        <v>0.3464589812206111</v>
      </c>
      <c r="D30" s="152">
        <f>ATR!D31</f>
        <v>0.5982462780109974</v>
      </c>
      <c r="E30" s="151">
        <f>ATR!E31</f>
        <v>0.36897204764233477</v>
      </c>
      <c r="F30" s="152">
        <f>ATR!F31</f>
        <v>0.5459390661779971</v>
      </c>
      <c r="G30" s="6">
        <f t="shared" si="0"/>
        <v>0.36630665007703417</v>
      </c>
      <c r="H30" s="36">
        <f>H14*'INDICES '!$L$6/'INDICES '!$J$6/1000</f>
        <v>0.6073782167771657</v>
      </c>
    </row>
    <row r="31" spans="2:8" ht="15">
      <c r="B31" s="8" t="s">
        <v>152</v>
      </c>
      <c r="C31" s="151">
        <f>ATR!C32</f>
        <v>0.009710019982553393</v>
      </c>
      <c r="D31" s="152">
        <f>ATR!D32</f>
        <v>0.6212313191036481</v>
      </c>
      <c r="E31" s="151">
        <f>ATR!E32</f>
        <v>0.04714123347659546</v>
      </c>
      <c r="F31" s="152">
        <f>ATR!F32</f>
        <v>0.5712163118068848</v>
      </c>
      <c r="G31" s="6">
        <f t="shared" si="0"/>
        <v>0.012491797926248976</v>
      </c>
      <c r="H31" s="36">
        <f>H15*'INDICES '!$L$8/'INDICES '!$J$8/1000</f>
        <v>0.5712163118068847</v>
      </c>
    </row>
    <row r="32" spans="2:8" ht="15">
      <c r="B32" s="173" t="s">
        <v>169</v>
      </c>
      <c r="C32" s="182">
        <f>ATR!C33</f>
        <v>0.44132552956181587</v>
      </c>
      <c r="D32" s="185">
        <f>ATR!D33</f>
        <v>0.6226757869955397</v>
      </c>
      <c r="E32" s="182">
        <f>ATR!E33</f>
        <v>0.44682228900450655</v>
      </c>
      <c r="F32" s="185">
        <f>ATR!F33</f>
        <v>0.5602338139696824</v>
      </c>
      <c r="G32" s="178">
        <f t="shared" si="0"/>
        <v>0.38693592567495133</v>
      </c>
      <c r="H32" s="181">
        <f>H16*'INDICES '!$L$6/'INDICES '!$J$6/1000</f>
        <v>0.6084767987298274</v>
      </c>
    </row>
    <row r="33" spans="2:8" ht="4.5" customHeight="1">
      <c r="B33" s="12"/>
      <c r="H33" s="102"/>
    </row>
    <row r="34" spans="2:8" ht="15.75" thickBot="1">
      <c r="B34" s="13" t="s">
        <v>5</v>
      </c>
      <c r="C34" s="259">
        <f>ROUND(SUMPRODUCT(C23:C27,D23:D27)+SUMPRODUCT(C29:C31,D29:D31),4)</f>
        <v>0.6767</v>
      </c>
      <c r="D34" s="259"/>
      <c r="E34" s="259">
        <f>ROUND(SUMPRODUCT(E23:E27,F23:F27)+SUMPRODUCT(E29:E31,F29:F31),4)</f>
        <v>0.6263</v>
      </c>
      <c r="F34" s="259"/>
      <c r="G34" s="259">
        <f>ROUND(SUMPRODUCT(G23:G27,H23:H27)+SUMPRODUCT(G29:G31,H29:H31),4)</f>
        <v>0.6975</v>
      </c>
      <c r="H34" s="260"/>
    </row>
    <row r="35" ht="8.25" customHeight="1"/>
    <row r="37" spans="2:4" ht="15">
      <c r="B37" s="266" t="s">
        <v>77</v>
      </c>
      <c r="C37" s="267"/>
      <c r="D37" s="268"/>
    </row>
    <row r="38" spans="2:4" ht="15">
      <c r="B38" s="269" t="str">
        <f>CONCATENATE("PROJETADO SAFRA ",'RES-I'!G3)</f>
        <v>PROJETADO SAFRA 2020/2021</v>
      </c>
      <c r="C38" s="270"/>
      <c r="D38" s="271"/>
    </row>
    <row r="39" spans="2:4" ht="15">
      <c r="B39" s="272" t="s">
        <v>83</v>
      </c>
      <c r="C39" s="273"/>
      <c r="D39" s="274"/>
    </row>
    <row r="40" ht="15.75" thickBot="1"/>
    <row r="41" spans="2:10" ht="16.5" thickBot="1" thickTop="1">
      <c r="B41" s="5"/>
      <c r="C41" s="264" t="s">
        <v>112</v>
      </c>
      <c r="D41" s="265"/>
      <c r="E41" s="264" t="s">
        <v>110</v>
      </c>
      <c r="F41" s="265"/>
      <c r="G41" s="264" t="s">
        <v>111</v>
      </c>
      <c r="H41" s="265"/>
      <c r="I41" s="123"/>
      <c r="J41" s="124"/>
    </row>
    <row r="42" spans="2:10" ht="16.5" thickBot="1" thickTop="1">
      <c r="B42" s="5"/>
      <c r="C42" s="89" t="s">
        <v>26</v>
      </c>
      <c r="D42" s="89" t="s">
        <v>27</v>
      </c>
      <c r="E42" s="89" t="s">
        <v>26</v>
      </c>
      <c r="F42" s="89" t="s">
        <v>27</v>
      </c>
      <c r="G42" s="89" t="s">
        <v>26</v>
      </c>
      <c r="H42" s="89" t="s">
        <v>27</v>
      </c>
      <c r="I42" s="123"/>
      <c r="J42" s="124"/>
    </row>
    <row r="43" spans="2:8" ht="16.5" thickBot="1" thickTop="1">
      <c r="B43" s="90" t="s">
        <v>28</v>
      </c>
      <c r="C43" s="153">
        <f>ROUND(121.9676*C34*0.8953,2)</f>
        <v>73.89</v>
      </c>
      <c r="D43" s="153">
        <f>ROUND(121.9676*C34,2)</f>
        <v>82.54</v>
      </c>
      <c r="E43" s="153">
        <f>ROUND(121.9676*E34*0.8953,2)</f>
        <v>68.39</v>
      </c>
      <c r="F43" s="153">
        <f>ROUND(121.9676*E34,2)</f>
        <v>76.39</v>
      </c>
      <c r="G43" s="91">
        <f>+PREÇOS!Q33</f>
        <v>76.17</v>
      </c>
      <c r="H43" s="91">
        <f>+PREÇOS!Q35</f>
        <v>85.07</v>
      </c>
    </row>
    <row r="44" spans="2:8" ht="16.5" thickBot="1" thickTop="1">
      <c r="B44" s="90" t="s">
        <v>25</v>
      </c>
      <c r="C44" s="92">
        <v>0</v>
      </c>
      <c r="D44" s="92">
        <v>0</v>
      </c>
      <c r="E44" s="92">
        <v>0</v>
      </c>
      <c r="F44" s="92">
        <v>0</v>
      </c>
      <c r="G44" s="92">
        <v>0</v>
      </c>
      <c r="H44" s="92">
        <v>0</v>
      </c>
    </row>
    <row r="45" spans="2:8" ht="16.5" thickBot="1" thickTop="1">
      <c r="B45" s="90" t="s">
        <v>29</v>
      </c>
      <c r="C45" s="153">
        <f aca="true" t="shared" si="1" ref="C45:H45">C43</f>
        <v>73.89</v>
      </c>
      <c r="D45" s="153">
        <f t="shared" si="1"/>
        <v>82.54</v>
      </c>
      <c r="E45" s="153">
        <f t="shared" si="1"/>
        <v>68.39</v>
      </c>
      <c r="F45" s="153">
        <f t="shared" si="1"/>
        <v>76.39</v>
      </c>
      <c r="G45" s="153">
        <f t="shared" si="1"/>
        <v>76.17</v>
      </c>
      <c r="H45" s="153">
        <f t="shared" si="1"/>
        <v>85.07</v>
      </c>
    </row>
    <row r="46" ht="15.75" thickTop="1"/>
  </sheetData>
  <sheetProtection/>
  <mergeCells count="17">
    <mergeCell ref="G5:H5"/>
    <mergeCell ref="E5:F5"/>
    <mergeCell ref="C5:D5"/>
    <mergeCell ref="G41:H41"/>
    <mergeCell ref="B37:D37"/>
    <mergeCell ref="B38:D38"/>
    <mergeCell ref="B39:D39"/>
    <mergeCell ref="B5:B6"/>
    <mergeCell ref="C41:D41"/>
    <mergeCell ref="E41:F41"/>
    <mergeCell ref="B21:B22"/>
    <mergeCell ref="G34:H34"/>
    <mergeCell ref="E34:F34"/>
    <mergeCell ref="C34:D34"/>
    <mergeCell ref="C21:D21"/>
    <mergeCell ref="E21:F21"/>
    <mergeCell ref="G21:H21"/>
  </mergeCells>
  <printOptions/>
  <pageMargins left="0.7874015748031497" right="0.4724409448818898" top="0.5118110236220472" bottom="0.984251968503937" header="0.5118110236220472" footer="0.5118110236220472"/>
  <pageSetup fitToHeight="1" fitToWidth="1" horizontalDpi="300" verticalDpi="300" orientation="landscape" paperSize="9" scale="75" r:id="rId1"/>
  <headerFooter alignWithMargins="0">
    <oddFooter>&amp;R&amp;D&amp;F</oddFooter>
  </headerFooter>
</worksheet>
</file>

<file path=xl/worksheets/sheet5.xml><?xml version="1.0" encoding="utf-8"?>
<worksheet xmlns="http://schemas.openxmlformats.org/spreadsheetml/2006/main" xmlns:r="http://schemas.openxmlformats.org/officeDocument/2006/relationships">
  <dimension ref="A1:H37"/>
  <sheetViews>
    <sheetView zoomScale="90" zoomScaleNormal="90" zoomScalePageLayoutView="0" workbookViewId="0" topLeftCell="A1">
      <selection activeCell="F13" sqref="F13"/>
    </sheetView>
  </sheetViews>
  <sheetFormatPr defaultColWidth="9.140625" defaultRowHeight="12.75"/>
  <cols>
    <col min="1" max="1" width="5.8515625" style="0" customWidth="1"/>
    <col min="2" max="2" width="12.57421875" style="0" customWidth="1"/>
    <col min="3" max="3" width="11.8515625" style="0" customWidth="1"/>
    <col min="4" max="4" width="12.140625" style="0" bestFit="1" customWidth="1"/>
    <col min="5" max="5" width="11.8515625" style="0" customWidth="1"/>
    <col min="6" max="6" width="12.140625" style="0" bestFit="1" customWidth="1"/>
    <col min="7" max="8" width="11.8515625" style="0" customWidth="1"/>
  </cols>
  <sheetData>
    <row r="1" spans="1:8" ht="18">
      <c r="A1" s="81">
        <f>'PROD.'!A1</f>
        <v>7</v>
      </c>
      <c r="B1" s="279" t="str">
        <f>CONCATENATE("PREÇO DO ATR REALIZADO EM ",VLOOKUP(A1,'INDICES '!N2:O13,2))</f>
        <v>PREÇO DO ATR REALIZADO EM JULHO/2020</v>
      </c>
      <c r="C1" s="280"/>
      <c r="D1" s="280"/>
      <c r="E1" s="280"/>
      <c r="F1" s="280"/>
      <c r="G1" s="280"/>
      <c r="H1" s="280"/>
    </row>
    <row r="2" spans="2:8" ht="15">
      <c r="B2" s="281" t="str">
        <f>CONCATENATE("SAFRA ",'RES-I'!G3,"   -    PREÇOS EM REAIS A VISTA")</f>
        <v>SAFRA 2020/2021   -    PREÇOS EM REAIS A VISTA</v>
      </c>
      <c r="C2" s="281"/>
      <c r="D2" s="281"/>
      <c r="E2" s="281"/>
      <c r="F2" s="281"/>
      <c r="G2" s="281"/>
      <c r="H2" s="281"/>
    </row>
    <row r="3" spans="2:6" ht="15">
      <c r="B3" s="1"/>
      <c r="C3" s="1"/>
      <c r="D3" s="1"/>
      <c r="E3" s="1"/>
      <c r="F3" s="1"/>
    </row>
    <row r="4" spans="2:6" ht="15.75" thickBot="1">
      <c r="B4" s="5" t="s">
        <v>19</v>
      </c>
      <c r="C4" s="5"/>
      <c r="D4" s="5"/>
      <c r="E4" s="5"/>
      <c r="F4" s="5"/>
    </row>
    <row r="5" spans="2:8" ht="15">
      <c r="B5" s="282" t="s">
        <v>18</v>
      </c>
      <c r="C5" s="284" t="s">
        <v>51</v>
      </c>
      <c r="D5" s="284"/>
      <c r="E5" s="284" t="s">
        <v>54</v>
      </c>
      <c r="F5" s="284"/>
      <c r="G5" s="275" t="s">
        <v>109</v>
      </c>
      <c r="H5" s="276"/>
    </row>
    <row r="6" spans="2:8" ht="15">
      <c r="B6" s="283"/>
      <c r="C6" s="33" t="s">
        <v>52</v>
      </c>
      <c r="D6" s="33" t="s">
        <v>53</v>
      </c>
      <c r="E6" s="33" t="s">
        <v>52</v>
      </c>
      <c r="F6" s="33" t="s">
        <v>53</v>
      </c>
      <c r="G6" s="142" t="s">
        <v>52</v>
      </c>
      <c r="H6" s="34" t="s">
        <v>53</v>
      </c>
    </row>
    <row r="7" spans="2:8" ht="15">
      <c r="B7" s="8" t="s">
        <v>1</v>
      </c>
      <c r="C7" s="29">
        <f>HLOOKUP($A$1,MIX!$C$1:$O$90,MIX!A28)</f>
        <v>0.02500632471513311</v>
      </c>
      <c r="D7" s="7">
        <f>HLOOKUP($A$1,MIX!$C$1:$O$90,MIX!A72)</f>
        <v>60.62</v>
      </c>
      <c r="E7" s="29">
        <f>IF($A$1=16,MIX!P39,HLOOKUP($A$1,MIX!$C$1:$O$90,MIX!A39))</f>
        <v>0.024769929553519154</v>
      </c>
      <c r="F7" s="7">
        <f>IF(A1=16,MIX!P83,HLOOKUP($A$1,MIX!$C$1:$O$90,MIX!A83))</f>
        <v>62.283085699866504</v>
      </c>
      <c r="G7" s="143">
        <f>MIX!P39</f>
        <v>0.006563700858264647</v>
      </c>
      <c r="H7" s="35">
        <f>MIX!P83</f>
        <v>62.283085699866504</v>
      </c>
    </row>
    <row r="8" spans="2:8" ht="15">
      <c r="B8" s="8" t="s">
        <v>2</v>
      </c>
      <c r="C8" s="29">
        <f>HLOOKUP($A$1,MIX!$C$1:$O$90,MIX!A29)</f>
        <v>0.3040679284929377</v>
      </c>
      <c r="D8" s="7">
        <f>HLOOKUP($A$1,MIX!$C$1:$O$90,MIX!A73)</f>
        <v>68.69</v>
      </c>
      <c r="E8" s="29">
        <f>IF($A$1=16,MIX!P40,HLOOKUP($A$1,MIX!$C$1:$O$90,MIX!A40))</f>
        <v>0.2841485539705261</v>
      </c>
      <c r="F8" s="7">
        <f>IF(A2=16,MIX!P84,HLOOKUP($A$1,MIX!$C$1:$O$90,MIX!A84))</f>
        <v>64.8693724295975</v>
      </c>
      <c r="G8" s="143">
        <f>MIX!P40</f>
        <v>0.4124513959559958</v>
      </c>
      <c r="H8" s="35">
        <f>MIX!P84</f>
        <v>70.2918948565264</v>
      </c>
    </row>
    <row r="9" spans="2:8" ht="15">
      <c r="B9" s="170" t="s">
        <v>146</v>
      </c>
      <c r="C9" s="29">
        <f>HLOOKUP($A$1,MIX!$C$1:$O$90,MIX!A30)</f>
        <v>0.017767773884031186</v>
      </c>
      <c r="D9" s="7">
        <f>HLOOKUP($A$1,MIX!$C$1:$O$90,MIX!A74)</f>
        <v>1792.02</v>
      </c>
      <c r="E9" s="29">
        <f>IF($A$1=16,MIX!P41,HLOOKUP($A$1,MIX!$C$1:$O$90,MIX!A41))</f>
        <v>0.008200442884081728</v>
      </c>
      <c r="F9" s="7">
        <f>IF(A4=16,MIX!P85,HLOOKUP($A$1,MIX!$C$1:$O$90,MIX!A85))</f>
        <v>1757.000986087139</v>
      </c>
      <c r="G9" s="143">
        <f>MIX!P41</f>
        <v>0.002173007956284248</v>
      </c>
      <c r="H9" s="35">
        <f>MIX!P85</f>
        <v>1757.000986087139</v>
      </c>
    </row>
    <row r="10" spans="2:8" ht="15">
      <c r="B10" s="170" t="s">
        <v>147</v>
      </c>
      <c r="C10" s="29">
        <f>HLOOKUP($A$1,MIX!$C$1:$O$90,MIX!A31)</f>
        <v>0.21087003792206324</v>
      </c>
      <c r="D10" s="7">
        <f>HLOOKUP($A$1,MIX!$C$1:$O$90,MIX!A75)</f>
        <v>1820.11</v>
      </c>
      <c r="E10" s="29">
        <f>IF($A$1=16,MIX!P42,HLOOKUP($A$1,MIX!$C$1:$O$90,MIX!A42))</f>
        <v>0.23497449071729296</v>
      </c>
      <c r="F10" s="7">
        <f>IF(A5=16,MIX!P86,HLOOKUP($A$1,MIX!$C$1:$O$90,MIX!A86))</f>
        <v>1727.2594253584532</v>
      </c>
      <c r="G10" s="143">
        <f>MIX!P42</f>
        <v>0.19158864643819487</v>
      </c>
      <c r="H10" s="35">
        <f>MIX!P86</f>
        <v>1866.0911668464528</v>
      </c>
    </row>
    <row r="11" spans="2:8" ht="15">
      <c r="B11" s="170" t="s">
        <v>151</v>
      </c>
      <c r="C11" s="29">
        <f>HLOOKUP($A$1,MIX!$C$1:$O$90,MIX!A32)</f>
        <v>0.0009624054240189789</v>
      </c>
      <c r="D11" s="7">
        <f>HLOOKUP($A$1,MIX!$C$1:$O$90,MIX!A76)</f>
        <v>1934.67</v>
      </c>
      <c r="E11" s="29">
        <f>IF($A$1=16,MIX!P43,HLOOKUP($A$1,MIX!$C$1:$O$90,MIX!A43))</f>
        <v>0.0010842938700735773</v>
      </c>
      <c r="F11" s="7">
        <f>IF(A6=16,MIX!P87,HLOOKUP($A$1,MIX!$C$1:$O$90,MIX!A87))</f>
        <v>1928.6012881355932</v>
      </c>
      <c r="G11" s="29">
        <f>MIX!P43</f>
        <v>0.00028732340922632543</v>
      </c>
      <c r="H11" s="35">
        <f>MIX!P87</f>
        <v>1928.6012881355934</v>
      </c>
    </row>
    <row r="12" spans="2:8" ht="15">
      <c r="B12" s="173" t="s">
        <v>168</v>
      </c>
      <c r="C12" s="174">
        <f>HLOOKUP($A$1,'MIX-1'!$C$1:$O$58,'MIX-1'!A22)</f>
        <v>0.22960021723011342</v>
      </c>
      <c r="D12" s="175">
        <f>HLOOKUP($A$1,'MIX-1'!$C$1:$O$58,'MIX-1'!A50)</f>
        <v>1818.4164319027311</v>
      </c>
      <c r="E12" s="174">
        <f>IF($A$1=16,'MIX-1'!P29,HLOOKUP($A$1,'MIX-1'!$C$1:$O$58,'MIX-1'!A29))</f>
        <v>0.24425922747144824</v>
      </c>
      <c r="F12" s="175">
        <f>IF(A6=16,'MIX-1'!P57,HLOOKUP($A$1,'MIX-1'!$C$1:$O$58,'MIX-1'!A57))</f>
        <v>1729.1517089066415</v>
      </c>
      <c r="G12" s="176">
        <f>'MIX-1'!P29</f>
        <v>0.19404897870952711</v>
      </c>
      <c r="H12" s="177">
        <f>'MIX-1'!P57</f>
        <v>1864.9621053430285</v>
      </c>
    </row>
    <row r="13" spans="2:8" ht="15">
      <c r="B13" s="170" t="s">
        <v>148</v>
      </c>
      <c r="C13" s="29">
        <f>HLOOKUP($A$1,MIX!$C$1:$O$90,MIX!A33)</f>
        <v>0.08515652835865126</v>
      </c>
      <c r="D13" s="7">
        <f>HLOOKUP($A$1,MIX!$C$1:$O$90,MIX!A77)</f>
        <v>1967.006</v>
      </c>
      <c r="E13" s="29">
        <f>IF($A$1=16,MIX!P44,HLOOKUP($A$1,MIX!$C$1:$O$90,MIX!A44))</f>
        <v>0.030709007885576362</v>
      </c>
      <c r="F13" s="7">
        <f>IF(A5=16,MIX!P88,HLOOKUP($A$1,MIX!$C$1:$O$90,MIX!A88))</f>
        <v>1947.65744812756</v>
      </c>
      <c r="G13" s="143">
        <f>MIX!P44</f>
        <v>0.008137477378750814</v>
      </c>
      <c r="H13" s="35">
        <f>MIX!P88</f>
        <v>1947.65744812756</v>
      </c>
    </row>
    <row r="14" spans="2:8" ht="15">
      <c r="B14" s="170" t="s">
        <v>149</v>
      </c>
      <c r="C14" s="29">
        <f>HLOOKUP($A$1,MIX!$C$1:$O$90,MIX!A34)</f>
        <v>0.3464589812206111</v>
      </c>
      <c r="D14" s="7">
        <f>HLOOKUP($A$1,MIX!$C$1:$O$90,MIX!A78)</f>
        <v>1629.33</v>
      </c>
      <c r="E14" s="29">
        <f>IF($A$1=16,MIX!P45,HLOOKUP($A$1,MIX!$C$1:$O$90,MIX!A45))</f>
        <v>0.36897204764233477</v>
      </c>
      <c r="F14" s="7">
        <f>IF(A6=16,MIX!P89,HLOOKUP($A$1,MIX!$C$1:$O$90,MIX!A89))</f>
        <v>1486.870761073827</v>
      </c>
      <c r="G14" s="143">
        <f>MIX!P45</f>
        <v>0.36630665007703417</v>
      </c>
      <c r="H14" s="35">
        <f>MIX!P89</f>
        <v>1654.2009308135596</v>
      </c>
    </row>
    <row r="15" spans="2:8" ht="15">
      <c r="B15" s="8" t="s">
        <v>152</v>
      </c>
      <c r="C15" s="29">
        <f>HLOOKUP($A$1,MIX!$C$1:$O$90,MIX!A35)</f>
        <v>0.009710019982553393</v>
      </c>
      <c r="D15" s="7">
        <f>HLOOKUP($A$1,MIX!$C$1:$O$90,MIX!A79)</f>
        <v>1691.93</v>
      </c>
      <c r="E15" s="29">
        <f>IF($A$1=16,MIX!P46,HLOOKUP($A$1,MIX!$C$1:$O$90,MIX!A46))</f>
        <v>0.04714123347659546</v>
      </c>
      <c r="F15" s="7">
        <f>IF(A7=16,MIX!P90,HLOOKUP($A$1,MIX!$C$1:$O$90,MIX!A90))</f>
        <v>1555.7136041207477</v>
      </c>
      <c r="G15" s="29">
        <f>MIX!P46</f>
        <v>0.012491797926248976</v>
      </c>
      <c r="H15" s="35">
        <f>MIX!P90</f>
        <v>1555.7136041207475</v>
      </c>
    </row>
    <row r="16" spans="2:8" ht="15.75" thickBot="1">
      <c r="B16" s="173" t="s">
        <v>169</v>
      </c>
      <c r="C16" s="212">
        <f>HLOOKUP($A$1,'MIX-1'!$C$1:$O$58,'MIX-1'!A23)</f>
        <v>0.44132552956181587</v>
      </c>
      <c r="D16" s="213">
        <f>HLOOKUP($A$1,'MIX-1'!$C$1:$O$958,'MIX-1'!A51)</f>
        <v>1695.864023422796</v>
      </c>
      <c r="E16" s="212">
        <f>IF($A$1=16,'MIX-1'!P30,HLOOKUP($A$1,'MIX-1'!$C$1:$O$58,'MIX-1'!A30))</f>
        <v>0.44682228900450655</v>
      </c>
      <c r="F16" s="213">
        <f>IF(A7=16,'MIX-1'!P58,HLOOKUP($A$1,'MIX-1'!$C$1:$O$58,'MIX-1'!A58))</f>
        <v>1525.802656307446</v>
      </c>
      <c r="G16" s="212">
        <f>'MIX-1'!P30</f>
        <v>0.38693592567495133</v>
      </c>
      <c r="H16" s="214">
        <f>'MIX-1'!P58</f>
        <v>1657.1929302604783</v>
      </c>
    </row>
    <row r="19" spans="2:8" ht="15">
      <c r="B19" s="1"/>
      <c r="C19" s="2"/>
      <c r="D19" s="2"/>
      <c r="E19" s="2"/>
      <c r="F19" s="2"/>
      <c r="G19" s="2"/>
      <c r="H19" s="2"/>
    </row>
    <row r="20" spans="2:8" ht="15">
      <c r="B20" s="1"/>
      <c r="C20" s="2"/>
      <c r="D20" s="2"/>
      <c r="E20" s="2"/>
      <c r="F20" s="2"/>
      <c r="G20" s="2"/>
      <c r="H20" s="2"/>
    </row>
    <row r="21" spans="2:8" ht="15.75" thickBot="1">
      <c r="B21" s="5" t="s">
        <v>78</v>
      </c>
      <c r="C21" s="1"/>
      <c r="D21" s="1"/>
      <c r="E21" s="1"/>
      <c r="F21" s="1"/>
      <c r="G21" s="1"/>
      <c r="H21" s="1"/>
    </row>
    <row r="22" spans="2:8" ht="15">
      <c r="B22" s="282" t="s">
        <v>18</v>
      </c>
      <c r="C22" s="284" t="s">
        <v>51</v>
      </c>
      <c r="D22" s="284"/>
      <c r="E22" s="284" t="s">
        <v>54</v>
      </c>
      <c r="F22" s="284"/>
      <c r="G22" s="275" t="s">
        <v>109</v>
      </c>
      <c r="H22" s="276"/>
    </row>
    <row r="23" spans="2:8" ht="15">
      <c r="B23" s="283"/>
      <c r="C23" s="33" t="s">
        <v>52</v>
      </c>
      <c r="D23" s="33" t="s">
        <v>53</v>
      </c>
      <c r="E23" s="33" t="s">
        <v>52</v>
      </c>
      <c r="F23" s="33" t="s">
        <v>53</v>
      </c>
      <c r="G23" s="142" t="s">
        <v>52</v>
      </c>
      <c r="H23" s="34" t="s">
        <v>53</v>
      </c>
    </row>
    <row r="24" spans="2:8" ht="15">
      <c r="B24" s="8" t="s">
        <v>1</v>
      </c>
      <c r="C24" s="6">
        <f aca="true" t="shared" si="0" ref="C24:C33">C7</f>
        <v>0.02500632471513311</v>
      </c>
      <c r="D24" s="15">
        <f>D7*'INDICES '!$L3/'INDICES '!$J3/1000*20</f>
        <v>0.6873539780848021</v>
      </c>
      <c r="E24" s="6">
        <f aca="true" t="shared" si="1" ref="E24:E33">E7</f>
        <v>0.024769929553519154</v>
      </c>
      <c r="F24" s="15">
        <f>F7*'INDICES '!$L3/'INDICES '!$J3/1000*20</f>
        <v>0.7062112623424595</v>
      </c>
      <c r="G24" s="144">
        <f aca="true" t="shared" si="2" ref="G24:G33">G7</f>
        <v>0.006563700858264647</v>
      </c>
      <c r="H24" s="36">
        <f>H7*'INDICES '!$L3/'INDICES '!$J3/1000*20</f>
        <v>0.7062112623424595</v>
      </c>
    </row>
    <row r="25" spans="2:8" ht="15">
      <c r="B25" s="8" t="s">
        <v>2</v>
      </c>
      <c r="C25" s="6">
        <f t="shared" si="0"/>
        <v>0.3040679284929377</v>
      </c>
      <c r="D25" s="15">
        <f>D8*'INDICES '!$L4/'INDICES '!$J4/1000*20</f>
        <v>0.7819869893810388</v>
      </c>
      <c r="E25" s="6">
        <f t="shared" si="1"/>
        <v>0.2841485539705261</v>
      </c>
      <c r="F25" s="15">
        <f>F8*'INDICES '!$L4/'INDICES '!$J4/1000*20</f>
        <v>0.7384918510592274</v>
      </c>
      <c r="G25" s="144">
        <f t="shared" si="2"/>
        <v>0.4124513959559958</v>
      </c>
      <c r="H25" s="36">
        <f>H8*'INDICES '!$L4/'INDICES '!$J4/1000*20</f>
        <v>0.8002234275257479</v>
      </c>
    </row>
    <row r="26" spans="2:8" ht="15">
      <c r="B26" s="170" t="s">
        <v>146</v>
      </c>
      <c r="C26" s="6">
        <f t="shared" si="0"/>
        <v>0.017767773884031186</v>
      </c>
      <c r="D26" s="15">
        <f>D9*'INDICES '!$L5/'INDICES '!$J5/1000</f>
        <v>0.630471032802674</v>
      </c>
      <c r="E26" s="6">
        <f t="shared" si="1"/>
        <v>0.008200442884081728</v>
      </c>
      <c r="F26" s="15">
        <f>F9*'INDICES '!$L5/'INDICES '!$J5/1000</f>
        <v>0.6181505933715445</v>
      </c>
      <c r="G26" s="144">
        <f t="shared" si="2"/>
        <v>0.002173007956284248</v>
      </c>
      <c r="H26" s="36">
        <f>H9*'INDICES '!$L5/'INDICES '!$J5/1000</f>
        <v>0.6181505933715445</v>
      </c>
    </row>
    <row r="27" spans="2:8" ht="15">
      <c r="B27" s="170" t="s">
        <v>147</v>
      </c>
      <c r="C27" s="6">
        <f t="shared" si="0"/>
        <v>0.21087003792206324</v>
      </c>
      <c r="D27" s="15">
        <f>D10*'INDICES '!$L5/'INDICES '!$J5/1000</f>
        <v>0.6403536966744093</v>
      </c>
      <c r="E27" s="6">
        <f t="shared" si="1"/>
        <v>0.23497449071729296</v>
      </c>
      <c r="F27" s="15">
        <f>F10*'INDICES '!$L5/'INDICES '!$J5/1000</f>
        <v>0.6076868750482123</v>
      </c>
      <c r="G27" s="144">
        <f t="shared" si="2"/>
        <v>0.19158864643819487</v>
      </c>
      <c r="H27" s="36">
        <f>H10*'INDICES '!$L5/'INDICES '!$J5/1000</f>
        <v>0.6565308563886734</v>
      </c>
    </row>
    <row r="28" spans="2:8" ht="15">
      <c r="B28" s="170" t="s">
        <v>151</v>
      </c>
      <c r="C28" s="6">
        <f t="shared" si="0"/>
        <v>0.0009624054240189789</v>
      </c>
      <c r="D28" s="15">
        <f>D11*'INDICES '!$L7/'INDICES '!$J7/1000</f>
        <v>0.6806583592997565</v>
      </c>
      <c r="E28" s="6">
        <f t="shared" si="1"/>
        <v>0.0010842938700735773</v>
      </c>
      <c r="F28" s="15">
        <f>F11*'INDICES '!$L7/'INDICES '!$J7/1000</f>
        <v>0.6785232564343118</v>
      </c>
      <c r="G28" s="6">
        <f t="shared" si="2"/>
        <v>0.00028732340922632543</v>
      </c>
      <c r="H28" s="36">
        <f>H11*'INDICES '!$L7/'INDICES '!$J7/1000</f>
        <v>0.6785232564343118</v>
      </c>
    </row>
    <row r="29" spans="2:8" ht="15">
      <c r="B29" s="173" t="s">
        <v>168</v>
      </c>
      <c r="C29" s="178">
        <f t="shared" si="0"/>
        <v>0.22960021723011342</v>
      </c>
      <c r="D29" s="179">
        <f>D12*'INDICES '!$L5/'INDICES '!$J5/1000</f>
        <v>0.6397578631304719</v>
      </c>
      <c r="E29" s="178">
        <f t="shared" si="1"/>
        <v>0.24425922747144824</v>
      </c>
      <c r="F29" s="179">
        <f>F12*'INDICES '!$L5/'INDICES '!$J5/1000</f>
        <v>0.6083526209455694</v>
      </c>
      <c r="G29" s="180">
        <f t="shared" si="2"/>
        <v>0.19404897870952711</v>
      </c>
      <c r="H29" s="181">
        <f>H12*'INDICES '!$L5/'INDICES '!$J5/1000</f>
        <v>0.6561336283598781</v>
      </c>
    </row>
    <row r="30" spans="2:8" ht="15">
      <c r="B30" s="170" t="s">
        <v>148</v>
      </c>
      <c r="C30" s="6">
        <f t="shared" si="0"/>
        <v>0.08515652835865126</v>
      </c>
      <c r="D30" s="15">
        <f>D13*'INDICES '!$L6/'INDICES '!$J6/1000</f>
        <v>0.7222318488736474</v>
      </c>
      <c r="E30" s="6">
        <f t="shared" si="1"/>
        <v>0.030709007885576362</v>
      </c>
      <c r="F30" s="15">
        <f>F13*'INDICES '!$L6/'INDICES '!$J6/1000</f>
        <v>0.7151275795466298</v>
      </c>
      <c r="G30" s="144">
        <f t="shared" si="2"/>
        <v>0.008137477378750814</v>
      </c>
      <c r="H30" s="36">
        <f>H13*'INDICES '!$L6/'INDICES '!$J6/1000</f>
        <v>0.7151275795466298</v>
      </c>
    </row>
    <row r="31" spans="2:8" ht="15">
      <c r="B31" s="170" t="s">
        <v>149</v>
      </c>
      <c r="C31" s="6">
        <f t="shared" si="0"/>
        <v>0.3464589812206111</v>
      </c>
      <c r="D31" s="15">
        <f>D14*'INDICES '!$L6/'INDICES '!$J6/1000</f>
        <v>0.5982462780109974</v>
      </c>
      <c r="E31" s="6">
        <f t="shared" si="1"/>
        <v>0.36897204764233477</v>
      </c>
      <c r="F31" s="15">
        <f>F14*'INDICES '!$L6/'INDICES '!$J6/1000</f>
        <v>0.5459390661779971</v>
      </c>
      <c r="G31" s="144">
        <f t="shared" si="2"/>
        <v>0.36630665007703417</v>
      </c>
      <c r="H31" s="36">
        <f>H14*'INDICES '!$L6/'INDICES '!$J6/1000</f>
        <v>0.6073782167771657</v>
      </c>
    </row>
    <row r="32" spans="2:8" ht="15">
      <c r="B32" s="8" t="s">
        <v>152</v>
      </c>
      <c r="C32" s="6">
        <f t="shared" si="0"/>
        <v>0.009710019982553393</v>
      </c>
      <c r="D32" s="15">
        <f>D15*'INDICES '!$L8/'INDICES '!$J8/1000</f>
        <v>0.6212313191036481</v>
      </c>
      <c r="E32" s="6">
        <f t="shared" si="1"/>
        <v>0.04714123347659546</v>
      </c>
      <c r="F32" s="15">
        <f>F15*'INDICES '!$L8/'INDICES '!$J8/1000</f>
        <v>0.5712163118068848</v>
      </c>
      <c r="G32" s="144">
        <f t="shared" si="2"/>
        <v>0.012491797926248976</v>
      </c>
      <c r="H32" s="36">
        <f>H15*'INDICES '!$L8/'INDICES '!$J8/1000</f>
        <v>0.5712163118068847</v>
      </c>
    </row>
    <row r="33" spans="2:8" ht="15">
      <c r="B33" s="173" t="s">
        <v>169</v>
      </c>
      <c r="C33" s="178">
        <f t="shared" si="0"/>
        <v>0.44132552956181587</v>
      </c>
      <c r="D33" s="179">
        <f>D16*'INDICES '!$L6/'INDICES '!$J6/1000</f>
        <v>0.6226757869955397</v>
      </c>
      <c r="E33" s="178">
        <f t="shared" si="1"/>
        <v>0.44682228900450655</v>
      </c>
      <c r="F33" s="179">
        <f>F16*'INDICES '!$L6/'INDICES '!$J6/1000</f>
        <v>0.5602338139696824</v>
      </c>
      <c r="G33" s="180">
        <f t="shared" si="2"/>
        <v>0.38693592567495133</v>
      </c>
      <c r="H33" s="181">
        <f>H16*'INDICES '!$L6/'INDICES '!$J6/1000</f>
        <v>0.6084767987298274</v>
      </c>
    </row>
    <row r="34" spans="2:8" ht="8.25" customHeight="1">
      <c r="B34" s="8"/>
      <c r="C34" s="30"/>
      <c r="D34" s="30"/>
      <c r="E34" s="30"/>
      <c r="F34" s="30"/>
      <c r="G34" s="145"/>
      <c r="H34" s="37"/>
    </row>
    <row r="35" spans="2:8" ht="15.75" thickBot="1">
      <c r="B35" s="38" t="s">
        <v>79</v>
      </c>
      <c r="C35" s="277">
        <f>ROUND(SUMPRODUCT(C24:C28,D24:D28)+SUMPRODUCT(C30:C32,D30:D32),4)</f>
        <v>0.6767</v>
      </c>
      <c r="D35" s="277"/>
      <c r="E35" s="277">
        <f>ROUND(SUMPRODUCT(E24:E28,F24:F28)+SUMPRODUCT(E30:E32,F30:F32),4)</f>
        <v>0.6263</v>
      </c>
      <c r="F35" s="277"/>
      <c r="G35" s="277">
        <f>ROUND(SUMPRODUCT(G24:G28,H24:H28)+SUMPRODUCT(G30:G32,H30:H32),4)</f>
        <v>0.6975</v>
      </c>
      <c r="H35" s="278"/>
    </row>
    <row r="36" spans="2:6" ht="15">
      <c r="B36" s="1"/>
      <c r="C36" s="1"/>
      <c r="D36" s="1"/>
      <c r="E36" s="1"/>
      <c r="F36" s="1"/>
    </row>
    <row r="37" spans="2:4" ht="15">
      <c r="B37" s="1"/>
      <c r="C37" s="1"/>
      <c r="D37" s="1"/>
    </row>
  </sheetData>
  <sheetProtection/>
  <mergeCells count="13">
    <mergeCell ref="B22:B23"/>
    <mergeCell ref="C22:D22"/>
    <mergeCell ref="E22:F22"/>
    <mergeCell ref="G5:H5"/>
    <mergeCell ref="G22:H22"/>
    <mergeCell ref="G35:H35"/>
    <mergeCell ref="B1:H1"/>
    <mergeCell ref="B2:H2"/>
    <mergeCell ref="C35:D35"/>
    <mergeCell ref="E35:F35"/>
    <mergeCell ref="B5:B6"/>
    <mergeCell ref="C5:D5"/>
    <mergeCell ref="E5:F5"/>
  </mergeCells>
  <printOptions/>
  <pageMargins left="0.787401575" right="0.787401575" top="0.984251969" bottom="0.984251969" header="0.492125985" footer="0.49212598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103"/>
  <sheetViews>
    <sheetView zoomScale="80" zoomScaleNormal="80" zoomScalePageLayoutView="0" workbookViewId="0" topLeftCell="A85">
      <pane xSplit="2" topLeftCell="C1" activePane="topRight" state="frozen"/>
      <selection pane="topLeft" activeCell="A3" sqref="A3"/>
      <selection pane="topRight" activeCell="F103" sqref="F103:N103"/>
    </sheetView>
  </sheetViews>
  <sheetFormatPr defaultColWidth="9.140625" defaultRowHeight="12.75"/>
  <cols>
    <col min="1" max="1" width="5.140625" style="47" bestFit="1" customWidth="1"/>
    <col min="2" max="16" width="13.8515625" style="0" customWidth="1"/>
  </cols>
  <sheetData>
    <row r="1" spans="3:15" s="47" customFormat="1" ht="12.75">
      <c r="C1" s="49">
        <v>4</v>
      </c>
      <c r="D1" s="49">
        <f>C1+1</f>
        <v>5</v>
      </c>
      <c r="E1" s="49">
        <f aca="true" t="shared" si="0" ref="E1:O1">D1+1</f>
        <v>6</v>
      </c>
      <c r="F1" s="49">
        <f t="shared" si="0"/>
        <v>7</v>
      </c>
      <c r="G1" s="49">
        <f t="shared" si="0"/>
        <v>8</v>
      </c>
      <c r="H1" s="49">
        <f t="shared" si="0"/>
        <v>9</v>
      </c>
      <c r="I1" s="49">
        <f t="shared" si="0"/>
        <v>10</v>
      </c>
      <c r="J1" s="49">
        <f t="shared" si="0"/>
        <v>11</v>
      </c>
      <c r="K1" s="49">
        <f t="shared" si="0"/>
        <v>12</v>
      </c>
      <c r="L1" s="49">
        <f t="shared" si="0"/>
        <v>13</v>
      </c>
      <c r="M1" s="49">
        <f>L1+1</f>
        <v>14</v>
      </c>
      <c r="N1" s="49">
        <f>M1+1</f>
        <v>15</v>
      </c>
      <c r="O1" s="49">
        <f t="shared" si="0"/>
        <v>16</v>
      </c>
    </row>
    <row r="2" spans="1:2" s="1" customFormat="1" ht="15.75" thickBot="1">
      <c r="A2" s="47"/>
      <c r="B2" s="5" t="s">
        <v>34</v>
      </c>
    </row>
    <row r="3" spans="1:16" s="16" customFormat="1" ht="15">
      <c r="A3" s="48">
        <f>ROW()</f>
        <v>3</v>
      </c>
      <c r="B3" s="45" t="s">
        <v>18</v>
      </c>
      <c r="C3" s="25" t="s">
        <v>138</v>
      </c>
      <c r="D3" s="25" t="s">
        <v>139</v>
      </c>
      <c r="E3" s="25" t="s">
        <v>8</v>
      </c>
      <c r="F3" s="25" t="s">
        <v>9</v>
      </c>
      <c r="G3" s="25" t="s">
        <v>10</v>
      </c>
      <c r="H3" s="25" t="s">
        <v>11</v>
      </c>
      <c r="I3" s="25" t="s">
        <v>12</v>
      </c>
      <c r="J3" s="25" t="s">
        <v>13</v>
      </c>
      <c r="K3" s="25" t="s">
        <v>14</v>
      </c>
      <c r="L3" s="25" t="s">
        <v>15</v>
      </c>
      <c r="M3" s="25" t="s">
        <v>16</v>
      </c>
      <c r="N3" s="25" t="s">
        <v>17</v>
      </c>
      <c r="O3" s="25" t="s">
        <v>103</v>
      </c>
      <c r="P3" s="26" t="s">
        <v>5</v>
      </c>
    </row>
    <row r="4" spans="1:16" s="1" customFormat="1" ht="15">
      <c r="A4" s="48">
        <f>ROW()</f>
        <v>4</v>
      </c>
      <c r="B4" s="8" t="s">
        <v>1</v>
      </c>
      <c r="C4" s="27">
        <f>+VOLUMES!C16</f>
        <v>6878.8428</v>
      </c>
      <c r="D4" s="27">
        <f>+VOLUMES!D16</f>
        <v>2486.1395600000005</v>
      </c>
      <c r="E4" s="27">
        <f>+VOLUMES!E16</f>
        <v>6169.958025000001</v>
      </c>
      <c r="F4" s="27">
        <f>+VOLUMES!F16</f>
        <v>8255.314525</v>
      </c>
      <c r="G4" s="27">
        <f>+VOLUMES!G16</f>
        <v>0</v>
      </c>
      <c r="H4" s="27">
        <f>+VOLUMES!H16</f>
        <v>0</v>
      </c>
      <c r="I4" s="27">
        <f>+VOLUMES!I16</f>
        <v>0</v>
      </c>
      <c r="J4" s="27">
        <f>+VOLUMES!J16</f>
        <v>0</v>
      </c>
      <c r="K4" s="27">
        <f>+VOLUMES!K16</f>
        <v>0</v>
      </c>
      <c r="L4" s="27">
        <f>+VOLUMES!L16</f>
        <v>0</v>
      </c>
      <c r="M4" s="27">
        <f>+VOLUMES!M16</f>
        <v>0</v>
      </c>
      <c r="N4" s="27">
        <f>+VOLUMES!N16</f>
        <v>0</v>
      </c>
      <c r="O4" s="27">
        <f>INT(VOLUMES!O16)</f>
        <v>0</v>
      </c>
      <c r="P4" s="28">
        <f aca="true" t="shared" si="1" ref="P4:P12">SUM(C4:O4)/12</f>
        <v>1982.5212425000002</v>
      </c>
    </row>
    <row r="5" spans="1:16" s="1" customFormat="1" ht="15">
      <c r="A5" s="48">
        <f>ROW()</f>
        <v>5</v>
      </c>
      <c r="B5" s="8" t="s">
        <v>2</v>
      </c>
      <c r="C5" s="27">
        <f>+VOLUMES!C15</f>
        <v>26320.738669299997</v>
      </c>
      <c r="D5" s="27">
        <f>+VOLUMES!D15</f>
        <v>114786.38638709999</v>
      </c>
      <c r="E5" s="27">
        <f>+VOLUMES!E15</f>
        <v>31421.419044199996</v>
      </c>
      <c r="F5" s="27">
        <f>+VOLUMES!F15</f>
        <v>100381.6600508</v>
      </c>
      <c r="G5" s="27">
        <f>+VOLUMES!G15</f>
        <v>251280.46050422743</v>
      </c>
      <c r="H5" s="27">
        <f>+VOLUMES!H15</f>
        <v>224948.15730407514</v>
      </c>
      <c r="I5" s="27">
        <f>+VOLUMES!I15</f>
        <v>181310.8977124107</v>
      </c>
      <c r="J5" s="27">
        <f>+VOLUMES!J15</f>
        <v>178372.3709896143</v>
      </c>
      <c r="K5" s="27">
        <f>+VOLUMES!K15</f>
        <v>171805.74763819415</v>
      </c>
      <c r="L5" s="27">
        <f>+VOLUMES!L15</f>
        <v>110857.26692437712</v>
      </c>
      <c r="M5" s="27">
        <f>+VOLUMES!M15</f>
        <v>90685.59056456364</v>
      </c>
      <c r="N5" s="27">
        <f>+VOLUMES!N15</f>
        <v>12767.001657137354</v>
      </c>
      <c r="O5" s="27">
        <f>INT(VOLUMES!O15)</f>
        <v>0</v>
      </c>
      <c r="P5" s="28">
        <f t="shared" si="1"/>
        <v>124578.14145383332</v>
      </c>
    </row>
    <row r="6" spans="1:16" s="1" customFormat="1" ht="15">
      <c r="A6" s="48">
        <f>ROW()</f>
        <v>6</v>
      </c>
      <c r="B6" s="170" t="s">
        <v>146</v>
      </c>
      <c r="C6" s="27">
        <f>+VOLUMES!C17</f>
        <v>1.7651E-05</v>
      </c>
      <c r="D6" s="27">
        <f>+VOLUMES!D17</f>
        <v>0</v>
      </c>
      <c r="E6" s="27">
        <f>+VOLUMES!E17</f>
        <v>2010.4488999999999</v>
      </c>
      <c r="F6" s="27">
        <f>+VOLUMES!F17</f>
        <v>5865.6585281</v>
      </c>
      <c r="G6" s="27">
        <f>+VOLUMES!G17</f>
        <v>0</v>
      </c>
      <c r="H6" s="27">
        <f>+VOLUMES!H17</f>
        <v>0</v>
      </c>
      <c r="I6" s="27">
        <f>+VOLUMES!I17</f>
        <v>0</v>
      </c>
      <c r="J6" s="27">
        <f>+VOLUMES!J17</f>
        <v>0</v>
      </c>
      <c r="K6" s="27">
        <f>+VOLUMES!K17</f>
        <v>0</v>
      </c>
      <c r="L6" s="27">
        <f>+VOLUMES!L17</f>
        <v>0</v>
      </c>
      <c r="M6" s="27">
        <f>+VOLUMES!M17</f>
        <v>0</v>
      </c>
      <c r="N6" s="27">
        <f>+VOLUMES!N17</f>
        <v>0</v>
      </c>
      <c r="O6" s="27">
        <f>INT(VOLUMES!O17)</f>
        <v>0</v>
      </c>
      <c r="P6" s="28">
        <f t="shared" si="1"/>
        <v>656.3422871459167</v>
      </c>
    </row>
    <row r="7" spans="1:16" s="1" customFormat="1" ht="15">
      <c r="A7" s="48">
        <f>ROW()</f>
        <v>7</v>
      </c>
      <c r="B7" s="170" t="s">
        <v>147</v>
      </c>
      <c r="C7" s="27">
        <f>+VOLUMES!C18</f>
        <v>62389.96947219999</v>
      </c>
      <c r="D7" s="27">
        <f>+VOLUMES!D18</f>
        <v>38041.8782401</v>
      </c>
      <c r="E7" s="27">
        <f>+VOLUMES!E18</f>
        <v>55634.8470474</v>
      </c>
      <c r="F7" s="27">
        <f>+VOLUMES!F18</f>
        <v>69614.3278461</v>
      </c>
      <c r="G7" s="27">
        <f>+VOLUMES!G18</f>
        <v>62815.68077112864</v>
      </c>
      <c r="H7" s="27">
        <f>+VOLUMES!H18</f>
        <v>61739.668525653</v>
      </c>
      <c r="I7" s="27">
        <f>+VOLUMES!I18</f>
        <v>60835.54572440102</v>
      </c>
      <c r="J7" s="27">
        <f>+VOLUMES!J18</f>
        <v>62943.77046263402</v>
      </c>
      <c r="K7" s="27">
        <f>+VOLUMES!K18</f>
        <v>57693.11823596603</v>
      </c>
      <c r="L7" s="27">
        <f>+VOLUMES!L18</f>
        <v>54607.53690906755</v>
      </c>
      <c r="M7" s="27">
        <f>+VOLUMES!M18</f>
        <v>61167.62999883999</v>
      </c>
      <c r="N7" s="27">
        <f>+VOLUMES!N18</f>
        <v>46932.612020758694</v>
      </c>
      <c r="O7" s="27">
        <f>INT(VOLUMES!O18)</f>
        <v>0</v>
      </c>
      <c r="P7" s="28">
        <f t="shared" si="1"/>
        <v>57868.04877118742</v>
      </c>
    </row>
    <row r="8" spans="1:16" s="1" customFormat="1" ht="15">
      <c r="A8" s="48">
        <f>ROW()</f>
        <v>8</v>
      </c>
      <c r="B8" s="170" t="s">
        <v>151</v>
      </c>
      <c r="C8" s="27">
        <f>+VOLUMES!C19</f>
        <v>409.5032</v>
      </c>
      <c r="D8" s="27">
        <f>+VOLUMES!D19</f>
        <v>132.3825</v>
      </c>
      <c r="E8" s="27">
        <f>+VOLUMES!E19</f>
        <v>181.8053</v>
      </c>
      <c r="F8" s="27">
        <f>+VOLUMES!F19</f>
        <v>317.71799999999996</v>
      </c>
      <c r="G8" s="27">
        <f>+VOLUMES!G19</f>
        <v>0</v>
      </c>
      <c r="H8" s="27">
        <f>+VOLUMES!H19</f>
        <v>0</v>
      </c>
      <c r="I8" s="27">
        <f>+VOLUMES!I19</f>
        <v>0</v>
      </c>
      <c r="J8" s="27">
        <f>+VOLUMES!J19</f>
        <v>0</v>
      </c>
      <c r="K8" s="27">
        <f>+VOLUMES!K19</f>
        <v>0</v>
      </c>
      <c r="L8" s="27">
        <f>+VOLUMES!L19</f>
        <v>0</v>
      </c>
      <c r="M8" s="27">
        <f>+VOLUMES!M19</f>
        <v>0</v>
      </c>
      <c r="N8" s="27">
        <f>+VOLUMES!N19</f>
        <v>0</v>
      </c>
      <c r="O8" s="27">
        <f>INT(VOLUMES!O19)</f>
        <v>0</v>
      </c>
      <c r="P8" s="28">
        <f>SUM(C8:O8)/12</f>
        <v>86.78408333333334</v>
      </c>
    </row>
    <row r="9" spans="1:16" s="1" customFormat="1" ht="15">
      <c r="A9" s="48">
        <f>ROW()</f>
        <v>9</v>
      </c>
      <c r="B9" s="170" t="s">
        <v>148</v>
      </c>
      <c r="C9" s="27">
        <f>+VOLUMES!C20</f>
        <v>1.6913000000000002E-05</v>
      </c>
      <c r="D9" s="27">
        <f>+VOLUMES!D20</f>
        <v>0</v>
      </c>
      <c r="E9" s="27">
        <f>+VOLUMES!E20</f>
        <v>1381.7921000000001</v>
      </c>
      <c r="F9" s="27">
        <f>+VOLUMES!F20</f>
        <v>28112.6448395</v>
      </c>
      <c r="G9" s="27">
        <f>+VOLUMES!G20</f>
        <v>0</v>
      </c>
      <c r="H9" s="27">
        <f>+VOLUMES!H20</f>
        <v>0</v>
      </c>
      <c r="I9" s="27">
        <f>+VOLUMES!I20</f>
        <v>0</v>
      </c>
      <c r="J9" s="27">
        <f>+VOLUMES!J20</f>
        <v>0</v>
      </c>
      <c r="K9" s="27">
        <f>+VOLUMES!K20</f>
        <v>0</v>
      </c>
      <c r="L9" s="27">
        <f>+VOLUMES!L20</f>
        <v>0</v>
      </c>
      <c r="M9" s="27">
        <f>+VOLUMES!M20</f>
        <v>0</v>
      </c>
      <c r="N9" s="27">
        <f>+VOLUMES!N20</f>
        <v>0</v>
      </c>
      <c r="O9" s="27">
        <f>INT(VOLUMES!O20)</f>
        <v>0</v>
      </c>
      <c r="P9" s="28">
        <f t="shared" si="1"/>
        <v>2457.86974636775</v>
      </c>
    </row>
    <row r="10" spans="1:16" s="1" customFormat="1" ht="15">
      <c r="A10" s="48">
        <f>ROW()</f>
        <v>10</v>
      </c>
      <c r="B10" s="170" t="s">
        <v>149</v>
      </c>
      <c r="C10" s="27">
        <f>+VOLUMES!C21</f>
        <v>105362.55754439997</v>
      </c>
      <c r="D10" s="27">
        <f>+VOLUMES!D21</f>
        <v>77932.9746533</v>
      </c>
      <c r="E10" s="27">
        <f>+VOLUMES!E21</f>
        <v>56707.1359751</v>
      </c>
      <c r="F10" s="27">
        <f>+VOLUMES!F21</f>
        <v>114376.17852959999</v>
      </c>
      <c r="G10" s="27">
        <f>+VOLUMES!G21</f>
        <v>183988.16386611338</v>
      </c>
      <c r="H10" s="27">
        <f>+VOLUMES!H21</f>
        <v>175825.97954549795</v>
      </c>
      <c r="I10" s="27">
        <f>+VOLUMES!I21</f>
        <v>153537.99845265975</v>
      </c>
      <c r="J10" s="27">
        <f>+VOLUMES!J21</f>
        <v>112983.37416215464</v>
      </c>
      <c r="K10" s="27">
        <f>+VOLUMES!K21</f>
        <v>101221.58598730546</v>
      </c>
      <c r="L10" s="27">
        <f>+VOLUMES!L21</f>
        <v>92312.89773401181</v>
      </c>
      <c r="M10" s="27">
        <f>+VOLUMES!M21</f>
        <v>87256.52168233506</v>
      </c>
      <c r="N10" s="27">
        <f>+VOLUMES!N21</f>
        <v>66179.84616060891</v>
      </c>
      <c r="O10" s="27">
        <f>INT(VOLUMES!O21)</f>
        <v>0</v>
      </c>
      <c r="P10" s="28">
        <f t="shared" si="1"/>
        <v>110640.4345244239</v>
      </c>
    </row>
    <row r="11" spans="1:16" s="1" customFormat="1" ht="15">
      <c r="A11" s="48">
        <f>ROW()</f>
        <v>11</v>
      </c>
      <c r="B11" s="8" t="s">
        <v>152</v>
      </c>
      <c r="C11" s="27">
        <f>+VOLUMES!C22</f>
        <v>12291.473702299998</v>
      </c>
      <c r="D11" s="27">
        <f>+VOLUMES!D22</f>
        <v>19007.6868891</v>
      </c>
      <c r="E11" s="27">
        <f>+VOLUMES!E22</f>
        <v>10772.0317692</v>
      </c>
      <c r="F11" s="27">
        <f>+VOLUMES!F22</f>
        <v>3205.5597899000004</v>
      </c>
      <c r="G11" s="27">
        <f>+VOLUMES!G22</f>
        <v>0</v>
      </c>
      <c r="H11" s="27">
        <f>+VOLUMES!H22</f>
        <v>0</v>
      </c>
      <c r="I11" s="27">
        <f>+VOLUMES!I22</f>
        <v>0</v>
      </c>
      <c r="J11" s="27">
        <f>+VOLUMES!J22</f>
        <v>0</v>
      </c>
      <c r="K11" s="27">
        <f>+VOLUMES!K22</f>
        <v>0</v>
      </c>
      <c r="L11" s="27">
        <f>+VOLUMES!L22</f>
        <v>0</v>
      </c>
      <c r="M11" s="27">
        <f>+VOLUMES!M22</f>
        <v>0</v>
      </c>
      <c r="N11" s="27">
        <f>+VOLUMES!N22</f>
        <v>0</v>
      </c>
      <c r="O11" s="27">
        <f>INT(VOLUMES!O22)</f>
        <v>0</v>
      </c>
      <c r="P11" s="28">
        <f t="shared" si="1"/>
        <v>3773.062679208333</v>
      </c>
    </row>
    <row r="12" spans="1:16" s="1" customFormat="1" ht="15">
      <c r="A12" s="48">
        <f>ROW()</f>
        <v>12</v>
      </c>
      <c r="B12" s="8" t="s">
        <v>33</v>
      </c>
      <c r="C12" s="27">
        <f aca="true" t="shared" si="2" ref="C12:O12">SUM(C4:C11)</f>
        <v>213653.08542276395</v>
      </c>
      <c r="D12" s="27">
        <f t="shared" si="2"/>
        <v>252387.44822959998</v>
      </c>
      <c r="E12" s="27">
        <f t="shared" si="2"/>
        <v>164279.4381609</v>
      </c>
      <c r="F12" s="27">
        <f t="shared" si="2"/>
        <v>330129.062109</v>
      </c>
      <c r="G12" s="27">
        <f t="shared" si="2"/>
        <v>498084.30514146946</v>
      </c>
      <c r="H12" s="27">
        <f t="shared" si="2"/>
        <v>462513.8053752261</v>
      </c>
      <c r="I12" s="27">
        <f t="shared" si="2"/>
        <v>395684.4418894715</v>
      </c>
      <c r="J12" s="27">
        <f t="shared" si="2"/>
        <v>354299.51561440295</v>
      </c>
      <c r="K12" s="27">
        <f t="shared" si="2"/>
        <v>330720.45186146564</v>
      </c>
      <c r="L12" s="27">
        <f t="shared" si="2"/>
        <v>257777.70156745648</v>
      </c>
      <c r="M12" s="27">
        <f t="shared" si="2"/>
        <v>239109.7422457387</v>
      </c>
      <c r="N12" s="27">
        <f t="shared" si="2"/>
        <v>125879.45983850496</v>
      </c>
      <c r="O12" s="27">
        <f t="shared" si="2"/>
        <v>0</v>
      </c>
      <c r="P12" s="28">
        <f t="shared" si="1"/>
        <v>302043.20478800003</v>
      </c>
    </row>
    <row r="13" spans="1:14" s="1" customFormat="1" ht="15">
      <c r="A13" s="48">
        <f>ROW()</f>
        <v>13</v>
      </c>
      <c r="C13" s="230">
        <f>C8+C11</f>
        <v>12700.976902299997</v>
      </c>
      <c r="D13" s="230">
        <f aca="true" t="shared" si="3" ref="D13:N13">D8+D11</f>
        <v>19140.0693891</v>
      </c>
      <c r="E13" s="230">
        <f t="shared" si="3"/>
        <v>10953.8370692</v>
      </c>
      <c r="F13" s="230">
        <f t="shared" si="3"/>
        <v>3523.2777899000002</v>
      </c>
      <c r="G13" s="230">
        <f t="shared" si="3"/>
        <v>0</v>
      </c>
      <c r="H13" s="230">
        <f t="shared" si="3"/>
        <v>0</v>
      </c>
      <c r="I13" s="230">
        <f t="shared" si="3"/>
        <v>0</v>
      </c>
      <c r="J13" s="230">
        <f t="shared" si="3"/>
        <v>0</v>
      </c>
      <c r="K13" s="230">
        <f t="shared" si="3"/>
        <v>0</v>
      </c>
      <c r="L13" s="230">
        <f t="shared" si="3"/>
        <v>0</v>
      </c>
      <c r="M13" s="230">
        <f t="shared" si="3"/>
        <v>0</v>
      </c>
      <c r="N13" s="230">
        <f t="shared" si="3"/>
        <v>0</v>
      </c>
    </row>
    <row r="14" spans="1:2" s="1" customFormat="1" ht="15.75" thickBot="1">
      <c r="A14" s="48">
        <f>ROW()</f>
        <v>14</v>
      </c>
      <c r="B14" s="5" t="s">
        <v>35</v>
      </c>
    </row>
    <row r="15" spans="1:16" s="16" customFormat="1" ht="15">
      <c r="A15" s="48">
        <f>ROW()</f>
        <v>15</v>
      </c>
      <c r="B15" s="17" t="s">
        <v>18</v>
      </c>
      <c r="C15" s="25" t="s">
        <v>138</v>
      </c>
      <c r="D15" s="25" t="s">
        <v>139</v>
      </c>
      <c r="E15" s="25" t="s">
        <v>8</v>
      </c>
      <c r="F15" s="25" t="s">
        <v>9</v>
      </c>
      <c r="G15" s="25" t="s">
        <v>10</v>
      </c>
      <c r="H15" s="25" t="s">
        <v>11</v>
      </c>
      <c r="I15" s="25" t="s">
        <v>12</v>
      </c>
      <c r="J15" s="25" t="s">
        <v>13</v>
      </c>
      <c r="K15" s="25" t="s">
        <v>14</v>
      </c>
      <c r="L15" s="25" t="s">
        <v>15</v>
      </c>
      <c r="M15" s="25" t="s">
        <v>16</v>
      </c>
      <c r="N15" s="25" t="s">
        <v>17</v>
      </c>
      <c r="O15" s="25" t="s">
        <v>103</v>
      </c>
      <c r="P15" s="26" t="s">
        <v>36</v>
      </c>
    </row>
    <row r="16" spans="1:16" s="1" customFormat="1" ht="15">
      <c r="A16" s="48">
        <f>ROW()</f>
        <v>16</v>
      </c>
      <c r="B16" s="8" t="s">
        <v>1</v>
      </c>
      <c r="C16" s="27">
        <f aca="true" t="shared" si="4" ref="C16:C23">+C4</f>
        <v>6878.8428</v>
      </c>
      <c r="D16" s="27">
        <f aca="true" t="shared" si="5" ref="D16:O23">+C16+D4</f>
        <v>9364.982360000002</v>
      </c>
      <c r="E16" s="27">
        <f t="shared" si="5"/>
        <v>15534.940385000002</v>
      </c>
      <c r="F16" s="27">
        <f t="shared" si="5"/>
        <v>23790.254910000003</v>
      </c>
      <c r="G16" s="27">
        <f t="shared" si="5"/>
        <v>23790.254910000003</v>
      </c>
      <c r="H16" s="27">
        <f t="shared" si="5"/>
        <v>23790.254910000003</v>
      </c>
      <c r="I16" s="27">
        <f t="shared" si="5"/>
        <v>23790.254910000003</v>
      </c>
      <c r="J16" s="27">
        <f t="shared" si="5"/>
        <v>23790.254910000003</v>
      </c>
      <c r="K16" s="27">
        <f t="shared" si="5"/>
        <v>23790.254910000003</v>
      </c>
      <c r="L16" s="27">
        <f t="shared" si="5"/>
        <v>23790.254910000003</v>
      </c>
      <c r="M16" s="27">
        <f t="shared" si="5"/>
        <v>23790.254910000003</v>
      </c>
      <c r="N16" s="27">
        <f t="shared" si="5"/>
        <v>23790.254910000003</v>
      </c>
      <c r="O16" s="27">
        <f t="shared" si="5"/>
        <v>23790.254910000003</v>
      </c>
      <c r="P16" s="27">
        <f aca="true" t="shared" si="6" ref="P16:P23">+O16</f>
        <v>23790.254910000003</v>
      </c>
    </row>
    <row r="17" spans="1:16" s="1" customFormat="1" ht="15">
      <c r="A17" s="48">
        <f>ROW()</f>
        <v>17</v>
      </c>
      <c r="B17" s="8" t="s">
        <v>2</v>
      </c>
      <c r="C17" s="27">
        <f t="shared" si="4"/>
        <v>26320.738669299997</v>
      </c>
      <c r="D17" s="27">
        <f t="shared" si="5"/>
        <v>141107.1250564</v>
      </c>
      <c r="E17" s="27">
        <f t="shared" si="5"/>
        <v>172528.5441006</v>
      </c>
      <c r="F17" s="27">
        <f t="shared" si="5"/>
        <v>272910.2041514</v>
      </c>
      <c r="G17" s="27">
        <f t="shared" si="5"/>
        <v>524190.66465562745</v>
      </c>
      <c r="H17" s="27">
        <f t="shared" si="5"/>
        <v>749138.8219597025</v>
      </c>
      <c r="I17" s="27">
        <f t="shared" si="5"/>
        <v>930449.7196721132</v>
      </c>
      <c r="J17" s="27">
        <f t="shared" si="5"/>
        <v>1108822.0906617276</v>
      </c>
      <c r="K17" s="27">
        <f t="shared" si="5"/>
        <v>1280627.8382999217</v>
      </c>
      <c r="L17" s="27">
        <f t="shared" si="5"/>
        <v>1391485.1052242988</v>
      </c>
      <c r="M17" s="27">
        <f t="shared" si="5"/>
        <v>1482170.6957888624</v>
      </c>
      <c r="N17" s="27">
        <f t="shared" si="5"/>
        <v>1494937.6974459998</v>
      </c>
      <c r="O17" s="27">
        <f t="shared" si="5"/>
        <v>1494937.6974459998</v>
      </c>
      <c r="P17" s="27">
        <f t="shared" si="6"/>
        <v>1494937.6974459998</v>
      </c>
    </row>
    <row r="18" spans="1:16" s="1" customFormat="1" ht="15">
      <c r="A18" s="48">
        <f>ROW()</f>
        <v>18</v>
      </c>
      <c r="B18" s="170" t="s">
        <v>146</v>
      </c>
      <c r="C18" s="27">
        <f t="shared" si="4"/>
        <v>1.7651E-05</v>
      </c>
      <c r="D18" s="27">
        <f t="shared" si="5"/>
        <v>1.7651E-05</v>
      </c>
      <c r="E18" s="27">
        <f t="shared" si="5"/>
        <v>2010.4489176509999</v>
      </c>
      <c r="F18" s="27">
        <f t="shared" si="5"/>
        <v>7876.107445750999</v>
      </c>
      <c r="G18" s="27">
        <f t="shared" si="5"/>
        <v>7876.107445750999</v>
      </c>
      <c r="H18" s="27">
        <f t="shared" si="5"/>
        <v>7876.107445750999</v>
      </c>
      <c r="I18" s="27">
        <f t="shared" si="5"/>
        <v>7876.107445750999</v>
      </c>
      <c r="J18" s="27">
        <f t="shared" si="5"/>
        <v>7876.107445750999</v>
      </c>
      <c r="K18" s="27">
        <f t="shared" si="5"/>
        <v>7876.107445750999</v>
      </c>
      <c r="L18" s="27">
        <f t="shared" si="5"/>
        <v>7876.107445750999</v>
      </c>
      <c r="M18" s="27">
        <f t="shared" si="5"/>
        <v>7876.107445750999</v>
      </c>
      <c r="N18" s="27">
        <f t="shared" si="5"/>
        <v>7876.107445750999</v>
      </c>
      <c r="O18" s="27">
        <f t="shared" si="5"/>
        <v>7876.107445750999</v>
      </c>
      <c r="P18" s="27">
        <f t="shared" si="6"/>
        <v>7876.107445750999</v>
      </c>
    </row>
    <row r="19" spans="1:16" s="1" customFormat="1" ht="15">
      <c r="A19" s="48">
        <f>ROW()</f>
        <v>19</v>
      </c>
      <c r="B19" s="170" t="s">
        <v>147</v>
      </c>
      <c r="C19" s="27">
        <f t="shared" si="4"/>
        <v>62389.96947219999</v>
      </c>
      <c r="D19" s="27">
        <f t="shared" si="5"/>
        <v>100431.84771229999</v>
      </c>
      <c r="E19" s="27">
        <f t="shared" si="5"/>
        <v>156066.69475969998</v>
      </c>
      <c r="F19" s="27">
        <f t="shared" si="5"/>
        <v>225681.02260579998</v>
      </c>
      <c r="G19" s="27">
        <f t="shared" si="5"/>
        <v>288496.70337692864</v>
      </c>
      <c r="H19" s="27">
        <f t="shared" si="5"/>
        <v>350236.37190258165</v>
      </c>
      <c r="I19" s="27">
        <f t="shared" si="5"/>
        <v>411071.9176269827</v>
      </c>
      <c r="J19" s="27">
        <f t="shared" si="5"/>
        <v>474015.6880896167</v>
      </c>
      <c r="K19" s="27">
        <f t="shared" si="5"/>
        <v>531708.8063255828</v>
      </c>
      <c r="L19" s="27">
        <f t="shared" si="5"/>
        <v>586316.3432346503</v>
      </c>
      <c r="M19" s="27">
        <f t="shared" si="5"/>
        <v>647483.9732334904</v>
      </c>
      <c r="N19" s="27">
        <f t="shared" si="5"/>
        <v>694416.585254249</v>
      </c>
      <c r="O19" s="27">
        <f t="shared" si="5"/>
        <v>694416.585254249</v>
      </c>
      <c r="P19" s="27">
        <f t="shared" si="6"/>
        <v>694416.585254249</v>
      </c>
    </row>
    <row r="20" spans="1:16" s="1" customFormat="1" ht="15">
      <c r="A20" s="48">
        <f>ROW()</f>
        <v>20</v>
      </c>
      <c r="B20" s="170" t="s">
        <v>151</v>
      </c>
      <c r="C20" s="27">
        <f t="shared" si="4"/>
        <v>409.5032</v>
      </c>
      <c r="D20" s="27">
        <f t="shared" si="5"/>
        <v>541.8857</v>
      </c>
      <c r="E20" s="27">
        <f t="shared" si="5"/>
        <v>723.691</v>
      </c>
      <c r="F20" s="27">
        <f t="shared" si="5"/>
        <v>1041.409</v>
      </c>
      <c r="G20" s="27">
        <f t="shared" si="5"/>
        <v>1041.409</v>
      </c>
      <c r="H20" s="27">
        <f t="shared" si="5"/>
        <v>1041.409</v>
      </c>
      <c r="I20" s="27">
        <f t="shared" si="5"/>
        <v>1041.409</v>
      </c>
      <c r="J20" s="27">
        <f t="shared" si="5"/>
        <v>1041.409</v>
      </c>
      <c r="K20" s="27">
        <f t="shared" si="5"/>
        <v>1041.409</v>
      </c>
      <c r="L20" s="27">
        <f t="shared" si="5"/>
        <v>1041.409</v>
      </c>
      <c r="M20" s="27">
        <f t="shared" si="5"/>
        <v>1041.409</v>
      </c>
      <c r="N20" s="27">
        <f t="shared" si="5"/>
        <v>1041.409</v>
      </c>
      <c r="O20" s="27">
        <f t="shared" si="5"/>
        <v>1041.409</v>
      </c>
      <c r="P20" s="27">
        <f>+O20</f>
        <v>1041.409</v>
      </c>
    </row>
    <row r="21" spans="1:16" s="1" customFormat="1" ht="15">
      <c r="A21" s="48">
        <f>ROW()</f>
        <v>21</v>
      </c>
      <c r="B21" s="170" t="s">
        <v>148</v>
      </c>
      <c r="C21" s="27">
        <f t="shared" si="4"/>
        <v>1.6913000000000002E-05</v>
      </c>
      <c r="D21" s="27">
        <f t="shared" si="5"/>
        <v>1.6913000000000002E-05</v>
      </c>
      <c r="E21" s="27">
        <f t="shared" si="5"/>
        <v>1381.7921169130002</v>
      </c>
      <c r="F21" s="27">
        <f t="shared" si="5"/>
        <v>29494.436956413</v>
      </c>
      <c r="G21" s="27">
        <f t="shared" si="5"/>
        <v>29494.436956413</v>
      </c>
      <c r="H21" s="27">
        <f t="shared" si="5"/>
        <v>29494.436956413</v>
      </c>
      <c r="I21" s="27">
        <f t="shared" si="5"/>
        <v>29494.436956413</v>
      </c>
      <c r="J21" s="27">
        <f t="shared" si="5"/>
        <v>29494.436956413</v>
      </c>
      <c r="K21" s="27">
        <f t="shared" si="5"/>
        <v>29494.436956413</v>
      </c>
      <c r="L21" s="27">
        <f t="shared" si="5"/>
        <v>29494.436956413</v>
      </c>
      <c r="M21" s="27">
        <f t="shared" si="5"/>
        <v>29494.436956413</v>
      </c>
      <c r="N21" s="27">
        <f t="shared" si="5"/>
        <v>29494.436956413</v>
      </c>
      <c r="O21" s="27">
        <f t="shared" si="5"/>
        <v>29494.436956413</v>
      </c>
      <c r="P21" s="27">
        <f t="shared" si="6"/>
        <v>29494.436956413</v>
      </c>
    </row>
    <row r="22" spans="1:16" s="1" customFormat="1" ht="15">
      <c r="A22" s="48">
        <f>ROW()</f>
        <v>22</v>
      </c>
      <c r="B22" s="170" t="s">
        <v>149</v>
      </c>
      <c r="C22" s="27">
        <f t="shared" si="4"/>
        <v>105362.55754439997</v>
      </c>
      <c r="D22" s="27">
        <f t="shared" si="5"/>
        <v>183295.53219769997</v>
      </c>
      <c r="E22" s="27">
        <f t="shared" si="5"/>
        <v>240002.66817279998</v>
      </c>
      <c r="F22" s="27">
        <f t="shared" si="5"/>
        <v>354378.84670239995</v>
      </c>
      <c r="G22" s="27">
        <f t="shared" si="5"/>
        <v>538367.0105685133</v>
      </c>
      <c r="H22" s="27">
        <f t="shared" si="5"/>
        <v>714192.9901140112</v>
      </c>
      <c r="I22" s="27">
        <f t="shared" si="5"/>
        <v>867730.988566671</v>
      </c>
      <c r="J22" s="27">
        <f t="shared" si="5"/>
        <v>980714.3627288257</v>
      </c>
      <c r="K22" s="27">
        <f t="shared" si="5"/>
        <v>1081935.948716131</v>
      </c>
      <c r="L22" s="27">
        <f t="shared" si="5"/>
        <v>1174248.8464501428</v>
      </c>
      <c r="M22" s="27">
        <f t="shared" si="5"/>
        <v>1261505.3681324779</v>
      </c>
      <c r="N22" s="27">
        <f t="shared" si="5"/>
        <v>1327685.2142930867</v>
      </c>
      <c r="O22" s="27">
        <f t="shared" si="5"/>
        <v>1327685.2142930867</v>
      </c>
      <c r="P22" s="27">
        <f t="shared" si="6"/>
        <v>1327685.2142930867</v>
      </c>
    </row>
    <row r="23" spans="1:16" s="1" customFormat="1" ht="15">
      <c r="A23" s="48">
        <f>ROW()</f>
        <v>23</v>
      </c>
      <c r="B23" s="8" t="s">
        <v>152</v>
      </c>
      <c r="C23" s="27">
        <f t="shared" si="4"/>
        <v>12291.473702299998</v>
      </c>
      <c r="D23" s="27">
        <f t="shared" si="5"/>
        <v>31299.1605914</v>
      </c>
      <c r="E23" s="27">
        <f t="shared" si="5"/>
        <v>42071.1923606</v>
      </c>
      <c r="F23" s="27">
        <f t="shared" si="5"/>
        <v>45276.7521505</v>
      </c>
      <c r="G23" s="27">
        <f t="shared" si="5"/>
        <v>45276.7521505</v>
      </c>
      <c r="H23" s="27">
        <f t="shared" si="5"/>
        <v>45276.7521505</v>
      </c>
      <c r="I23" s="27">
        <f t="shared" si="5"/>
        <v>45276.7521505</v>
      </c>
      <c r="J23" s="27">
        <f t="shared" si="5"/>
        <v>45276.7521505</v>
      </c>
      <c r="K23" s="27">
        <f t="shared" si="5"/>
        <v>45276.7521505</v>
      </c>
      <c r="L23" s="27">
        <f t="shared" si="5"/>
        <v>45276.7521505</v>
      </c>
      <c r="M23" s="27">
        <f t="shared" si="5"/>
        <v>45276.7521505</v>
      </c>
      <c r="N23" s="27">
        <f t="shared" si="5"/>
        <v>45276.7521505</v>
      </c>
      <c r="O23" s="27">
        <f t="shared" si="5"/>
        <v>45276.7521505</v>
      </c>
      <c r="P23" s="27">
        <f t="shared" si="6"/>
        <v>45276.7521505</v>
      </c>
    </row>
    <row r="24" spans="1:16" s="1" customFormat="1" ht="15">
      <c r="A24" s="48">
        <f>ROW()</f>
        <v>24</v>
      </c>
      <c r="B24" s="8" t="s">
        <v>33</v>
      </c>
      <c r="C24" s="27">
        <f aca="true" t="shared" si="7" ref="C24:P24">SUM(C16:C23)</f>
        <v>213653.08542276395</v>
      </c>
      <c r="D24" s="27">
        <f t="shared" si="7"/>
        <v>466040.5336523639</v>
      </c>
      <c r="E24" s="27">
        <f t="shared" si="7"/>
        <v>630319.971813264</v>
      </c>
      <c r="F24" s="27">
        <f t="shared" si="7"/>
        <v>960449.0339222639</v>
      </c>
      <c r="G24" s="27">
        <f t="shared" si="7"/>
        <v>1458533.3390637331</v>
      </c>
      <c r="H24" s="27">
        <f t="shared" si="7"/>
        <v>1921047.1444389594</v>
      </c>
      <c r="I24" s="27">
        <f t="shared" si="7"/>
        <v>2316731.586328431</v>
      </c>
      <c r="J24" s="27">
        <f t="shared" si="7"/>
        <v>2671031.1019428344</v>
      </c>
      <c r="K24" s="27">
        <f t="shared" si="7"/>
        <v>3001751.5538043</v>
      </c>
      <c r="L24" s="27">
        <f t="shared" si="7"/>
        <v>3259529.255371756</v>
      </c>
      <c r="M24" s="27">
        <f t="shared" si="7"/>
        <v>3498638.9976174952</v>
      </c>
      <c r="N24" s="27">
        <f t="shared" si="7"/>
        <v>3624518.457456</v>
      </c>
      <c r="O24" s="27">
        <f t="shared" si="7"/>
        <v>3624518.457456</v>
      </c>
      <c r="P24" s="27">
        <f t="shared" si="7"/>
        <v>3624518.457456</v>
      </c>
    </row>
    <row r="25" spans="1:14" s="1" customFormat="1" ht="15">
      <c r="A25" s="48">
        <f>ROW()</f>
        <v>25</v>
      </c>
      <c r="C25" s="230">
        <f>C20+C23</f>
        <v>12700.976902299997</v>
      </c>
      <c r="D25" s="230">
        <f aca="true" t="shared" si="8" ref="D25:N25">D20+D23</f>
        <v>31841.046291399998</v>
      </c>
      <c r="E25" s="230">
        <f t="shared" si="8"/>
        <v>42794.8833606</v>
      </c>
      <c r="F25" s="230">
        <f t="shared" si="8"/>
        <v>46318.1611505</v>
      </c>
      <c r="G25" s="230">
        <f t="shared" si="8"/>
        <v>46318.1611505</v>
      </c>
      <c r="H25" s="230">
        <f t="shared" si="8"/>
        <v>46318.1611505</v>
      </c>
      <c r="I25" s="230">
        <f t="shared" si="8"/>
        <v>46318.1611505</v>
      </c>
      <c r="J25" s="230">
        <f t="shared" si="8"/>
        <v>46318.1611505</v>
      </c>
      <c r="K25" s="230">
        <f t="shared" si="8"/>
        <v>46318.1611505</v>
      </c>
      <c r="L25" s="230">
        <f t="shared" si="8"/>
        <v>46318.1611505</v>
      </c>
      <c r="M25" s="230">
        <f t="shared" si="8"/>
        <v>46318.1611505</v>
      </c>
      <c r="N25" s="230">
        <f t="shared" si="8"/>
        <v>46318.1611505</v>
      </c>
    </row>
    <row r="26" spans="1:2" s="1" customFormat="1" ht="15.75" thickBot="1">
      <c r="A26" s="48">
        <f>ROW()</f>
        <v>26</v>
      </c>
      <c r="B26" s="5" t="s">
        <v>31</v>
      </c>
    </row>
    <row r="27" spans="1:16" s="16" customFormat="1" ht="15">
      <c r="A27" s="48">
        <f>ROW()</f>
        <v>27</v>
      </c>
      <c r="B27" s="17" t="s">
        <v>18</v>
      </c>
      <c r="C27" s="25" t="s">
        <v>138</v>
      </c>
      <c r="D27" s="25" t="s">
        <v>139</v>
      </c>
      <c r="E27" s="25" t="s">
        <v>8</v>
      </c>
      <c r="F27" s="25" t="s">
        <v>9</v>
      </c>
      <c r="G27" s="25" t="s">
        <v>10</v>
      </c>
      <c r="H27" s="25" t="s">
        <v>11</v>
      </c>
      <c r="I27" s="25" t="s">
        <v>12</v>
      </c>
      <c r="J27" s="25" t="s">
        <v>13</v>
      </c>
      <c r="K27" s="25" t="s">
        <v>14</v>
      </c>
      <c r="L27" s="25" t="s">
        <v>15</v>
      </c>
      <c r="M27" s="25" t="s">
        <v>16</v>
      </c>
      <c r="N27" s="25" t="s">
        <v>17</v>
      </c>
      <c r="O27" s="25" t="s">
        <v>103</v>
      </c>
      <c r="P27" s="26" t="s">
        <v>5</v>
      </c>
    </row>
    <row r="28" spans="1:16" s="1" customFormat="1" ht="15">
      <c r="A28" s="48">
        <f>ROW()</f>
        <v>28</v>
      </c>
      <c r="B28" s="8" t="s">
        <v>1</v>
      </c>
      <c r="C28" s="6">
        <f aca="true" t="shared" si="9" ref="C28:P35">IF(C4=0,0,C4/C$12)</f>
        <v>0.03219631856188062</v>
      </c>
      <c r="D28" s="6">
        <f t="shared" si="9"/>
        <v>0.00985048811832484</v>
      </c>
      <c r="E28" s="6">
        <f t="shared" si="9"/>
        <v>0.037557701037161856</v>
      </c>
      <c r="F28" s="6">
        <f t="shared" si="9"/>
        <v>0.02500632471513311</v>
      </c>
      <c r="G28" s="6">
        <f t="shared" si="9"/>
        <v>0</v>
      </c>
      <c r="H28" s="6">
        <f t="shared" si="9"/>
        <v>0</v>
      </c>
      <c r="I28" s="6">
        <f t="shared" si="9"/>
        <v>0</v>
      </c>
      <c r="J28" s="6">
        <f t="shared" si="9"/>
        <v>0</v>
      </c>
      <c r="K28" s="6">
        <f t="shared" si="9"/>
        <v>0</v>
      </c>
      <c r="L28" s="6">
        <f t="shared" si="9"/>
        <v>0</v>
      </c>
      <c r="M28" s="6">
        <f t="shared" si="9"/>
        <v>0</v>
      </c>
      <c r="N28" s="6">
        <f t="shared" si="9"/>
        <v>0</v>
      </c>
      <c r="O28" s="6">
        <f t="shared" si="9"/>
        <v>0</v>
      </c>
      <c r="P28" s="6">
        <f t="shared" si="9"/>
        <v>0.006563700858264646</v>
      </c>
    </row>
    <row r="29" spans="1:16" s="1" customFormat="1" ht="15">
      <c r="A29" s="48">
        <f>ROW()</f>
        <v>29</v>
      </c>
      <c r="B29" s="8" t="s">
        <v>2</v>
      </c>
      <c r="C29" s="6">
        <f t="shared" si="9"/>
        <v>0.1231938149510834</v>
      </c>
      <c r="D29" s="6">
        <f t="shared" si="9"/>
        <v>0.4548022779749229</v>
      </c>
      <c r="E29" s="6">
        <f t="shared" si="9"/>
        <v>0.1912681184934718</v>
      </c>
      <c r="F29" s="6">
        <f t="shared" si="9"/>
        <v>0.3040679284929377</v>
      </c>
      <c r="G29" s="6">
        <f t="shared" si="9"/>
        <v>0.5044938334944261</v>
      </c>
      <c r="H29" s="6">
        <f t="shared" si="9"/>
        <v>0.4863598765913165</v>
      </c>
      <c r="I29" s="6">
        <f t="shared" si="9"/>
        <v>0.458220942038093</v>
      </c>
      <c r="J29" s="6">
        <f t="shared" si="9"/>
        <v>0.5034507898784244</v>
      </c>
      <c r="K29" s="6">
        <f t="shared" si="9"/>
        <v>0.5194893350900515</v>
      </c>
      <c r="L29" s="6">
        <f t="shared" si="9"/>
        <v>0.43004986952049257</v>
      </c>
      <c r="M29" s="6">
        <f t="shared" si="9"/>
        <v>0.37926347004031286</v>
      </c>
      <c r="N29" s="6">
        <f t="shared" si="9"/>
        <v>0.10142243757255215</v>
      </c>
      <c r="O29" s="6">
        <f t="shared" si="9"/>
        <v>0</v>
      </c>
      <c r="P29" s="6">
        <f t="shared" si="9"/>
        <v>0.4124513959559958</v>
      </c>
    </row>
    <row r="30" spans="1:16" s="1" customFormat="1" ht="15">
      <c r="A30" s="48">
        <f>ROW()</f>
        <v>30</v>
      </c>
      <c r="B30" s="170" t="s">
        <v>146</v>
      </c>
      <c r="C30" s="6">
        <f t="shared" si="9"/>
        <v>8.26152356521005E-11</v>
      </c>
      <c r="D30" s="6">
        <f t="shared" si="9"/>
        <v>0</v>
      </c>
      <c r="E30" s="6">
        <f t="shared" si="9"/>
        <v>0.012237982564993366</v>
      </c>
      <c r="F30" s="6">
        <f t="shared" si="9"/>
        <v>0.017767773884031186</v>
      </c>
      <c r="G30" s="6">
        <f t="shared" si="9"/>
        <v>0</v>
      </c>
      <c r="H30" s="6">
        <f t="shared" si="9"/>
        <v>0</v>
      </c>
      <c r="I30" s="6">
        <f t="shared" si="9"/>
        <v>0</v>
      </c>
      <c r="J30" s="6">
        <f t="shared" si="9"/>
        <v>0</v>
      </c>
      <c r="K30" s="6">
        <f t="shared" si="9"/>
        <v>0</v>
      </c>
      <c r="L30" s="6">
        <f t="shared" si="9"/>
        <v>0</v>
      </c>
      <c r="M30" s="6">
        <f t="shared" si="9"/>
        <v>0</v>
      </c>
      <c r="N30" s="6">
        <f t="shared" si="9"/>
        <v>0</v>
      </c>
      <c r="O30" s="6">
        <f t="shared" si="9"/>
        <v>0</v>
      </c>
      <c r="P30" s="6">
        <f t="shared" si="9"/>
        <v>0.002173007956284248</v>
      </c>
    </row>
    <row r="31" spans="1:16" s="1" customFormat="1" ht="15">
      <c r="A31" s="48">
        <f>ROW()</f>
        <v>31</v>
      </c>
      <c r="B31" s="170" t="s">
        <v>147</v>
      </c>
      <c r="C31" s="6">
        <f t="shared" si="9"/>
        <v>0.29201529829885886</v>
      </c>
      <c r="D31" s="6">
        <f t="shared" si="9"/>
        <v>0.15072809090526892</v>
      </c>
      <c r="E31" s="6">
        <f t="shared" si="9"/>
        <v>0.3386598327230072</v>
      </c>
      <c r="F31" s="6">
        <f t="shared" si="9"/>
        <v>0.21087003792206324</v>
      </c>
      <c r="G31" s="6">
        <f t="shared" si="9"/>
        <v>0.12611455555357698</v>
      </c>
      <c r="H31" s="6">
        <f t="shared" si="9"/>
        <v>0.13348719067004958</v>
      </c>
      <c r="I31" s="6">
        <f t="shared" si="9"/>
        <v>0.15374763140521586</v>
      </c>
      <c r="J31" s="6">
        <f t="shared" si="9"/>
        <v>0.1776569475503828</v>
      </c>
      <c r="K31" s="6">
        <f t="shared" si="9"/>
        <v>0.17444678099355315</v>
      </c>
      <c r="L31" s="6">
        <f t="shared" si="9"/>
        <v>0.21183964546591164</v>
      </c>
      <c r="M31" s="6">
        <f t="shared" si="9"/>
        <v>0.2558140434778964</v>
      </c>
      <c r="N31" s="6">
        <f t="shared" si="9"/>
        <v>0.3728377296897376</v>
      </c>
      <c r="O31" s="6">
        <f t="shared" si="9"/>
        <v>0</v>
      </c>
      <c r="P31" s="6">
        <f t="shared" si="9"/>
        <v>0.19158864643819487</v>
      </c>
    </row>
    <row r="32" spans="1:16" s="1" customFormat="1" ht="15">
      <c r="A32" s="48">
        <f>ROW()</f>
        <v>32</v>
      </c>
      <c r="B32" s="170" t="s">
        <v>151</v>
      </c>
      <c r="C32" s="6">
        <f t="shared" si="9"/>
        <v>0.0019166734671287313</v>
      </c>
      <c r="D32" s="6">
        <f t="shared" si="9"/>
        <v>0.0005245209337017822</v>
      </c>
      <c r="E32" s="6">
        <f t="shared" si="9"/>
        <v>0.0011066832345867574</v>
      </c>
      <c r="F32" s="6">
        <f t="shared" si="9"/>
        <v>0.0009624054240189789</v>
      </c>
      <c r="G32" s="6">
        <f t="shared" si="9"/>
        <v>0</v>
      </c>
      <c r="H32" s="6">
        <f t="shared" si="9"/>
        <v>0</v>
      </c>
      <c r="I32" s="6">
        <f t="shared" si="9"/>
        <v>0</v>
      </c>
      <c r="J32" s="6">
        <f t="shared" si="9"/>
        <v>0</v>
      </c>
      <c r="K32" s="6">
        <f t="shared" si="9"/>
        <v>0</v>
      </c>
      <c r="L32" s="6">
        <f t="shared" si="9"/>
        <v>0</v>
      </c>
      <c r="M32" s="6">
        <f t="shared" si="9"/>
        <v>0</v>
      </c>
      <c r="N32" s="6">
        <f t="shared" si="9"/>
        <v>0</v>
      </c>
      <c r="O32" s="6">
        <f t="shared" si="9"/>
        <v>0</v>
      </c>
      <c r="P32" s="6">
        <f t="shared" si="9"/>
        <v>0.0002873234092263254</v>
      </c>
    </row>
    <row r="33" spans="1:16" s="1" customFormat="1" ht="15">
      <c r="A33" s="48">
        <f>ROW()</f>
        <v>33</v>
      </c>
      <c r="B33" s="170" t="s">
        <v>148</v>
      </c>
      <c r="C33" s="6">
        <f t="shared" si="9"/>
        <v>7.91610379346199E-11</v>
      </c>
      <c r="D33" s="6">
        <f t="shared" si="9"/>
        <v>0</v>
      </c>
      <c r="E33" s="6">
        <f t="shared" si="9"/>
        <v>0.00841122976477819</v>
      </c>
      <c r="F33" s="6">
        <f t="shared" si="9"/>
        <v>0.08515652835865126</v>
      </c>
      <c r="G33" s="6">
        <f t="shared" si="9"/>
        <v>0</v>
      </c>
      <c r="H33" s="6">
        <f t="shared" si="9"/>
        <v>0</v>
      </c>
      <c r="I33" s="6">
        <f t="shared" si="9"/>
        <v>0</v>
      </c>
      <c r="J33" s="6">
        <f t="shared" si="9"/>
        <v>0</v>
      </c>
      <c r="K33" s="6">
        <f t="shared" si="9"/>
        <v>0</v>
      </c>
      <c r="L33" s="6">
        <f t="shared" si="9"/>
        <v>0</v>
      </c>
      <c r="M33" s="6">
        <f t="shared" si="9"/>
        <v>0</v>
      </c>
      <c r="N33" s="6">
        <f t="shared" si="9"/>
        <v>0</v>
      </c>
      <c r="O33" s="6">
        <f t="shared" si="9"/>
        <v>0</v>
      </c>
      <c r="P33" s="6">
        <f t="shared" si="9"/>
        <v>0.008137477378750814</v>
      </c>
    </row>
    <row r="34" spans="1:16" s="1" customFormat="1" ht="15">
      <c r="A34" s="48">
        <f>ROW()</f>
        <v>34</v>
      </c>
      <c r="B34" s="170" t="s">
        <v>149</v>
      </c>
      <c r="C34" s="6">
        <f t="shared" si="9"/>
        <v>0.49314783980729715</v>
      </c>
      <c r="D34" s="6">
        <f t="shared" si="9"/>
        <v>0.3087830841033085</v>
      </c>
      <c r="E34" s="6">
        <f t="shared" si="9"/>
        <v>0.3451870581609818</v>
      </c>
      <c r="F34" s="6">
        <f t="shared" si="9"/>
        <v>0.3464589812206111</v>
      </c>
      <c r="G34" s="6">
        <f t="shared" si="9"/>
        <v>0.36939161095199685</v>
      </c>
      <c r="H34" s="6">
        <f t="shared" si="9"/>
        <v>0.38015293273863393</v>
      </c>
      <c r="I34" s="6">
        <f t="shared" si="9"/>
        <v>0.3880314265566911</v>
      </c>
      <c r="J34" s="6">
        <f t="shared" si="9"/>
        <v>0.31889226257119285</v>
      </c>
      <c r="K34" s="6">
        <f t="shared" si="9"/>
        <v>0.30606388391639544</v>
      </c>
      <c r="L34" s="6">
        <f t="shared" si="9"/>
        <v>0.3581104850135959</v>
      </c>
      <c r="M34" s="6">
        <f t="shared" si="9"/>
        <v>0.3649224864817908</v>
      </c>
      <c r="N34" s="6">
        <f t="shared" si="9"/>
        <v>0.5257398327377102</v>
      </c>
      <c r="O34" s="6">
        <f t="shared" si="9"/>
        <v>0</v>
      </c>
      <c r="P34" s="6">
        <f t="shared" si="9"/>
        <v>0.36630665007703417</v>
      </c>
    </row>
    <row r="35" spans="1:16" s="1" customFormat="1" ht="15">
      <c r="A35" s="48">
        <f>ROW()</f>
        <v>35</v>
      </c>
      <c r="B35" s="8" t="s">
        <v>152</v>
      </c>
      <c r="C35" s="6">
        <f t="shared" si="9"/>
        <v>0.05753005475197498</v>
      </c>
      <c r="D35" s="6">
        <f t="shared" si="9"/>
        <v>0.07531153796447307</v>
      </c>
      <c r="E35" s="6">
        <f t="shared" si="9"/>
        <v>0.06557139402101901</v>
      </c>
      <c r="F35" s="6">
        <f t="shared" si="9"/>
        <v>0.009710019982553393</v>
      </c>
      <c r="G35" s="6">
        <f t="shared" si="9"/>
        <v>0</v>
      </c>
      <c r="H35" s="6">
        <f t="shared" si="9"/>
        <v>0</v>
      </c>
      <c r="I35" s="6">
        <f t="shared" si="9"/>
        <v>0</v>
      </c>
      <c r="J35" s="6">
        <f t="shared" si="9"/>
        <v>0</v>
      </c>
      <c r="K35" s="6">
        <f t="shared" si="9"/>
        <v>0</v>
      </c>
      <c r="L35" s="6">
        <f t="shared" si="9"/>
        <v>0</v>
      </c>
      <c r="M35" s="6">
        <f t="shared" si="9"/>
        <v>0</v>
      </c>
      <c r="N35" s="6">
        <f t="shared" si="9"/>
        <v>0</v>
      </c>
      <c r="O35" s="6">
        <f t="shared" si="9"/>
        <v>0</v>
      </c>
      <c r="P35" s="6">
        <f t="shared" si="9"/>
        <v>0.012491797926248974</v>
      </c>
    </row>
    <row r="36" s="1" customFormat="1" ht="15">
      <c r="A36" s="48">
        <f>ROW()</f>
        <v>36</v>
      </c>
    </row>
    <row r="37" spans="1:2" s="1" customFormat="1" ht="15.75" thickBot="1">
      <c r="A37" s="48">
        <f>ROW()</f>
        <v>37</v>
      </c>
      <c r="B37" s="5" t="s">
        <v>32</v>
      </c>
    </row>
    <row r="38" spans="1:16" s="16" customFormat="1" ht="15">
      <c r="A38" s="48">
        <f>ROW()</f>
        <v>38</v>
      </c>
      <c r="B38" s="17" t="s">
        <v>18</v>
      </c>
      <c r="C38" s="25" t="s">
        <v>138</v>
      </c>
      <c r="D38" s="25" t="s">
        <v>139</v>
      </c>
      <c r="E38" s="25" t="s">
        <v>8</v>
      </c>
      <c r="F38" s="25" t="s">
        <v>9</v>
      </c>
      <c r="G38" s="25" t="s">
        <v>10</v>
      </c>
      <c r="H38" s="25" t="s">
        <v>11</v>
      </c>
      <c r="I38" s="25" t="s">
        <v>12</v>
      </c>
      <c r="J38" s="25" t="s">
        <v>13</v>
      </c>
      <c r="K38" s="25" t="s">
        <v>14</v>
      </c>
      <c r="L38" s="25" t="s">
        <v>15</v>
      </c>
      <c r="M38" s="25" t="s">
        <v>16</v>
      </c>
      <c r="N38" s="25" t="s">
        <v>17</v>
      </c>
      <c r="O38" s="25" t="s">
        <v>103</v>
      </c>
      <c r="P38" s="26" t="s">
        <v>5</v>
      </c>
    </row>
    <row r="39" spans="1:16" s="1" customFormat="1" ht="15">
      <c r="A39" s="48">
        <f>ROW()</f>
        <v>39</v>
      </c>
      <c r="B39" s="8" t="s">
        <v>1</v>
      </c>
      <c r="C39" s="6">
        <f aca="true" t="shared" si="10" ref="C39:P46">+C16/C$24</f>
        <v>0.03219631856188062</v>
      </c>
      <c r="D39" s="6">
        <f t="shared" si="10"/>
        <v>0.02009478078356522</v>
      </c>
      <c r="E39" s="6">
        <f t="shared" si="10"/>
        <v>0.02464611797133777</v>
      </c>
      <c r="F39" s="6">
        <f t="shared" si="10"/>
        <v>0.024769929553519154</v>
      </c>
      <c r="G39" s="6">
        <f t="shared" si="10"/>
        <v>0.0163110806402763</v>
      </c>
      <c r="H39" s="6">
        <f t="shared" si="10"/>
        <v>0.012384003681985604</v>
      </c>
      <c r="I39" s="6">
        <f t="shared" si="10"/>
        <v>0.01026888701755171</v>
      </c>
      <c r="J39" s="6">
        <f t="shared" si="10"/>
        <v>0.008906768211233342</v>
      </c>
      <c r="K39" s="6">
        <f t="shared" si="10"/>
        <v>0.007925457681482395</v>
      </c>
      <c r="L39" s="6">
        <f t="shared" si="10"/>
        <v>0.007298678136050869</v>
      </c>
      <c r="M39" s="6">
        <f t="shared" si="10"/>
        <v>0.00679985986728002</v>
      </c>
      <c r="N39" s="6">
        <f t="shared" si="10"/>
        <v>0.006563700858264647</v>
      </c>
      <c r="O39" s="6">
        <f t="shared" si="10"/>
        <v>0.006563700858264647</v>
      </c>
      <c r="P39" s="6">
        <f t="shared" si="10"/>
        <v>0.006563700858264647</v>
      </c>
    </row>
    <row r="40" spans="1:16" s="1" customFormat="1" ht="15">
      <c r="A40" s="48">
        <f>ROW()</f>
        <v>40</v>
      </c>
      <c r="B40" s="8" t="s">
        <v>2</v>
      </c>
      <c r="C40" s="6">
        <f t="shared" si="10"/>
        <v>0.1231938149510834</v>
      </c>
      <c r="D40" s="6">
        <f t="shared" si="10"/>
        <v>0.3027786530723887</v>
      </c>
      <c r="E40" s="6">
        <f t="shared" si="10"/>
        <v>0.2737158138973147</v>
      </c>
      <c r="F40" s="6">
        <f t="shared" si="10"/>
        <v>0.2841485539705261</v>
      </c>
      <c r="G40" s="6">
        <f t="shared" si="10"/>
        <v>0.35939573722196694</v>
      </c>
      <c r="H40" s="6">
        <f t="shared" si="10"/>
        <v>0.38996378830592837</v>
      </c>
      <c r="I40" s="6">
        <f t="shared" si="10"/>
        <v>0.4016217179249043</v>
      </c>
      <c r="J40" s="6">
        <f t="shared" si="10"/>
        <v>0.4151288578613708</v>
      </c>
      <c r="K40" s="6">
        <f t="shared" si="10"/>
        <v>0.4266268594670686</v>
      </c>
      <c r="L40" s="6">
        <f t="shared" si="10"/>
        <v>0.4268975659387346</v>
      </c>
      <c r="M40" s="6">
        <f t="shared" si="10"/>
        <v>0.4236420781904597</v>
      </c>
      <c r="N40" s="6">
        <f t="shared" si="10"/>
        <v>0.4124513959559958</v>
      </c>
      <c r="O40" s="6">
        <f t="shared" si="10"/>
        <v>0.4124513959559958</v>
      </c>
      <c r="P40" s="6">
        <f t="shared" si="10"/>
        <v>0.4124513959559958</v>
      </c>
    </row>
    <row r="41" spans="1:16" s="1" customFormat="1" ht="15">
      <c r="A41" s="48">
        <f>ROW()</f>
        <v>41</v>
      </c>
      <c r="B41" s="170" t="s">
        <v>146</v>
      </c>
      <c r="C41" s="6">
        <f t="shared" si="10"/>
        <v>8.26152356521005E-11</v>
      </c>
      <c r="D41" s="6">
        <f t="shared" si="10"/>
        <v>3.787438801013498E-11</v>
      </c>
      <c r="E41" s="6">
        <f t="shared" si="10"/>
        <v>0.0031895688024408775</v>
      </c>
      <c r="F41" s="6">
        <f t="shared" si="10"/>
        <v>0.008200442884081728</v>
      </c>
      <c r="G41" s="6">
        <f t="shared" si="10"/>
        <v>0.00540001879614686</v>
      </c>
      <c r="H41" s="6">
        <f t="shared" si="10"/>
        <v>0.004099903257736661</v>
      </c>
      <c r="I41" s="6">
        <f t="shared" si="10"/>
        <v>0.0033996633413338564</v>
      </c>
      <c r="J41" s="6">
        <f t="shared" si="10"/>
        <v>0.002948714239988496</v>
      </c>
      <c r="K41" s="6">
        <f t="shared" si="10"/>
        <v>0.0026238372178967097</v>
      </c>
      <c r="L41" s="6">
        <f t="shared" si="10"/>
        <v>0.0024163327979864115</v>
      </c>
      <c r="M41" s="6">
        <f t="shared" si="10"/>
        <v>0.0022511918066180805</v>
      </c>
      <c r="N41" s="6">
        <f t="shared" si="10"/>
        <v>0.002173007956284248</v>
      </c>
      <c r="O41" s="6">
        <f t="shared" si="10"/>
        <v>0.002173007956284248</v>
      </c>
      <c r="P41" s="6">
        <f t="shared" si="10"/>
        <v>0.002173007956284248</v>
      </c>
    </row>
    <row r="42" spans="1:16" s="1" customFormat="1" ht="15">
      <c r="A42" s="48">
        <f>ROW()</f>
        <v>42</v>
      </c>
      <c r="B42" s="170" t="s">
        <v>147</v>
      </c>
      <c r="C42" s="6">
        <f t="shared" si="10"/>
        <v>0.29201529829885886</v>
      </c>
      <c r="D42" s="6">
        <f t="shared" si="10"/>
        <v>0.21550024184637906</v>
      </c>
      <c r="E42" s="6">
        <f t="shared" si="10"/>
        <v>0.24759915874272134</v>
      </c>
      <c r="F42" s="6">
        <f t="shared" si="10"/>
        <v>0.23497449071729296</v>
      </c>
      <c r="G42" s="6">
        <f t="shared" si="10"/>
        <v>0.19779918336465416</v>
      </c>
      <c r="H42" s="6">
        <f t="shared" si="10"/>
        <v>0.1823153444809747</v>
      </c>
      <c r="I42" s="6">
        <f t="shared" si="10"/>
        <v>0.17743614325147253</v>
      </c>
      <c r="J42" s="6">
        <f t="shared" si="10"/>
        <v>0.17746543188689595</v>
      </c>
      <c r="K42" s="6">
        <f t="shared" si="10"/>
        <v>0.1771328495363703</v>
      </c>
      <c r="L42" s="6">
        <f t="shared" si="10"/>
        <v>0.17987761339107225</v>
      </c>
      <c r="M42" s="6">
        <f t="shared" si="10"/>
        <v>0.1850673858247205</v>
      </c>
      <c r="N42" s="6">
        <f t="shared" si="10"/>
        <v>0.19158864643819487</v>
      </c>
      <c r="O42" s="6">
        <f t="shared" si="10"/>
        <v>0.19158864643819487</v>
      </c>
      <c r="P42" s="6">
        <f t="shared" si="10"/>
        <v>0.19158864643819487</v>
      </c>
    </row>
    <row r="43" spans="1:16" s="1" customFormat="1" ht="15">
      <c r="A43" s="48">
        <f>ROW()</f>
        <v>43</v>
      </c>
      <c r="B43" s="170" t="s">
        <v>151</v>
      </c>
      <c r="C43" s="6">
        <f t="shared" si="10"/>
        <v>0.0019166734671287313</v>
      </c>
      <c r="D43" s="6">
        <f t="shared" si="10"/>
        <v>0.001162743711911144</v>
      </c>
      <c r="E43" s="6">
        <f t="shared" si="10"/>
        <v>0.001148132745846736</v>
      </c>
      <c r="F43" s="6">
        <f t="shared" si="10"/>
        <v>0.0010842938700735773</v>
      </c>
      <c r="G43" s="6">
        <f t="shared" si="10"/>
        <v>0.0007140111042429136</v>
      </c>
      <c r="H43" s="6">
        <f t="shared" si="10"/>
        <v>0.0005421048634931565</v>
      </c>
      <c r="I43" s="6">
        <f t="shared" si="10"/>
        <v>0.0004495164680041467</v>
      </c>
      <c r="J43" s="6">
        <f t="shared" si="10"/>
        <v>0.00038989025595490364</v>
      </c>
      <c r="K43" s="6">
        <f t="shared" si="10"/>
        <v>0.00034693377560849763</v>
      </c>
      <c r="L43" s="6">
        <f t="shared" si="10"/>
        <v>0.0003194967488890433</v>
      </c>
      <c r="M43" s="6">
        <f t="shared" si="10"/>
        <v>0.00029766117644866455</v>
      </c>
      <c r="N43" s="6">
        <f t="shared" si="10"/>
        <v>0.00028732340922632543</v>
      </c>
      <c r="O43" s="6">
        <f t="shared" si="10"/>
        <v>0.00028732340922632543</v>
      </c>
      <c r="P43" s="6">
        <f t="shared" si="10"/>
        <v>0.00028732340922632543</v>
      </c>
    </row>
    <row r="44" spans="1:16" s="1" customFormat="1" ht="15">
      <c r="A44" s="48">
        <f>ROW()</f>
        <v>44</v>
      </c>
      <c r="B44" s="170" t="s">
        <v>148</v>
      </c>
      <c r="C44" s="6">
        <f t="shared" si="10"/>
        <v>7.91610379346199E-11</v>
      </c>
      <c r="D44" s="6">
        <f t="shared" si="10"/>
        <v>3.629083476377616E-11</v>
      </c>
      <c r="E44" s="6">
        <f t="shared" si="10"/>
        <v>0.002192207416398293</v>
      </c>
      <c r="F44" s="6">
        <f t="shared" si="10"/>
        <v>0.030709007885576362</v>
      </c>
      <c r="G44" s="6">
        <f t="shared" si="10"/>
        <v>0.020221983390071956</v>
      </c>
      <c r="H44" s="6">
        <f t="shared" si="10"/>
        <v>0.015353312406618125</v>
      </c>
      <c r="I44" s="6">
        <f t="shared" si="10"/>
        <v>0.012731054875094938</v>
      </c>
      <c r="J44" s="6">
        <f t="shared" si="10"/>
        <v>0.011042341264749615</v>
      </c>
      <c r="K44" s="6">
        <f t="shared" si="10"/>
        <v>0.009825742213419671</v>
      </c>
      <c r="L44" s="6">
        <f t="shared" si="10"/>
        <v>0.00904867993063897</v>
      </c>
      <c r="M44" s="6">
        <f t="shared" si="10"/>
        <v>0.008430260160164606</v>
      </c>
      <c r="N44" s="6">
        <f t="shared" si="10"/>
        <v>0.008137477378750814</v>
      </c>
      <c r="O44" s="6">
        <f t="shared" si="10"/>
        <v>0.008137477378750814</v>
      </c>
      <c r="P44" s="6">
        <f t="shared" si="10"/>
        <v>0.008137477378750814</v>
      </c>
    </row>
    <row r="45" spans="1:16" s="1" customFormat="1" ht="15">
      <c r="A45" s="48">
        <f>ROW()</f>
        <v>45</v>
      </c>
      <c r="B45" s="170" t="s">
        <v>149</v>
      </c>
      <c r="C45" s="6">
        <f t="shared" si="10"/>
        <v>0.49314783980729715</v>
      </c>
      <c r="D45" s="6">
        <f t="shared" si="10"/>
        <v>0.393303841537583</v>
      </c>
      <c r="E45" s="6">
        <f t="shared" si="10"/>
        <v>0.3807632296377596</v>
      </c>
      <c r="F45" s="6">
        <f t="shared" si="10"/>
        <v>0.36897204764233477</v>
      </c>
      <c r="G45" s="6">
        <f t="shared" si="10"/>
        <v>0.3691153271231385</v>
      </c>
      <c r="H45" s="6">
        <f t="shared" si="10"/>
        <v>0.37177275538575644</v>
      </c>
      <c r="I45" s="6">
        <f t="shared" si="10"/>
        <v>0.37454964299159743</v>
      </c>
      <c r="J45" s="6">
        <f t="shared" si="10"/>
        <v>0.36716695736544624</v>
      </c>
      <c r="K45" s="6">
        <f t="shared" si="10"/>
        <v>0.36043487587936074</v>
      </c>
      <c r="L45" s="6">
        <f t="shared" si="10"/>
        <v>0.3602510529748926</v>
      </c>
      <c r="M45" s="6">
        <f t="shared" si="10"/>
        <v>0.36057031576894283</v>
      </c>
      <c r="N45" s="6">
        <f t="shared" si="10"/>
        <v>0.36630665007703417</v>
      </c>
      <c r="O45" s="6">
        <f t="shared" si="10"/>
        <v>0.36630665007703417</v>
      </c>
      <c r="P45" s="6">
        <f t="shared" si="10"/>
        <v>0.36630665007703417</v>
      </c>
    </row>
    <row r="46" spans="1:16" s="1" customFormat="1" ht="15">
      <c r="A46" s="48">
        <f>ROW()</f>
        <v>46</v>
      </c>
      <c r="B46" s="8" t="s">
        <v>152</v>
      </c>
      <c r="C46" s="6">
        <f t="shared" si="10"/>
        <v>0.05753005475197498</v>
      </c>
      <c r="D46" s="6">
        <f t="shared" si="10"/>
        <v>0.06715973897400768</v>
      </c>
      <c r="E46" s="6">
        <f t="shared" si="10"/>
        <v>0.0667457707861807</v>
      </c>
      <c r="F46" s="6">
        <f t="shared" si="10"/>
        <v>0.04714123347659546</v>
      </c>
      <c r="G46" s="6">
        <f t="shared" si="10"/>
        <v>0.031042658359502574</v>
      </c>
      <c r="H46" s="6">
        <f t="shared" si="10"/>
        <v>0.023568787617506932</v>
      </c>
      <c r="I46" s="6">
        <f t="shared" si="10"/>
        <v>0.01954337413004104</v>
      </c>
      <c r="J46" s="6">
        <f t="shared" si="10"/>
        <v>0.016951038914360426</v>
      </c>
      <c r="K46" s="6">
        <f t="shared" si="10"/>
        <v>0.015083444228793036</v>
      </c>
      <c r="L46" s="6">
        <f t="shared" si="10"/>
        <v>0.013890580081735174</v>
      </c>
      <c r="M46" s="6">
        <f t="shared" si="10"/>
        <v>0.012941247205365452</v>
      </c>
      <c r="N46" s="6">
        <f t="shared" si="10"/>
        <v>0.012491797926248976</v>
      </c>
      <c r="O46" s="6">
        <f t="shared" si="10"/>
        <v>0.012491797926248976</v>
      </c>
      <c r="P46" s="6">
        <f t="shared" si="10"/>
        <v>0.012491797926248976</v>
      </c>
    </row>
    <row r="47" ht="12.75">
      <c r="A47" s="48">
        <f>ROW()</f>
        <v>47</v>
      </c>
    </row>
    <row r="48" spans="1:16" ht="15.75" thickBot="1">
      <c r="A48" s="48">
        <f>ROW()</f>
        <v>48</v>
      </c>
      <c r="B48" s="5" t="s">
        <v>57</v>
      </c>
      <c r="C48" s="1"/>
      <c r="D48" s="1"/>
      <c r="E48" s="1"/>
      <c r="F48" s="1"/>
      <c r="G48" s="1"/>
      <c r="H48" s="1"/>
      <c r="I48" s="1"/>
      <c r="J48" s="1"/>
      <c r="K48" s="1"/>
      <c r="L48" s="1"/>
      <c r="M48" s="1"/>
      <c r="N48" s="1"/>
      <c r="O48" s="1"/>
      <c r="P48" s="1"/>
    </row>
    <row r="49" spans="1:16" ht="15">
      <c r="A49" s="48">
        <f>ROW()</f>
        <v>49</v>
      </c>
      <c r="B49" s="17" t="s">
        <v>18</v>
      </c>
      <c r="C49" s="25" t="s">
        <v>138</v>
      </c>
      <c r="D49" s="25" t="s">
        <v>139</v>
      </c>
      <c r="E49" s="25" t="s">
        <v>8</v>
      </c>
      <c r="F49" s="25" t="s">
        <v>9</v>
      </c>
      <c r="G49" s="25" t="s">
        <v>10</v>
      </c>
      <c r="H49" s="25" t="s">
        <v>11</v>
      </c>
      <c r="I49" s="25" t="s">
        <v>12</v>
      </c>
      <c r="J49" s="25" t="s">
        <v>13</v>
      </c>
      <c r="K49" s="25" t="s">
        <v>14</v>
      </c>
      <c r="L49" s="25" t="s">
        <v>15</v>
      </c>
      <c r="M49" s="25" t="s">
        <v>16</v>
      </c>
      <c r="N49" s="25" t="s">
        <v>17</v>
      </c>
      <c r="O49" s="25" t="s">
        <v>103</v>
      </c>
      <c r="P49" s="26" t="s">
        <v>5</v>
      </c>
    </row>
    <row r="50" spans="1:16" ht="15">
      <c r="A50" s="48">
        <f>ROW()</f>
        <v>50</v>
      </c>
      <c r="B50" s="8" t="s">
        <v>1</v>
      </c>
      <c r="C50" s="27">
        <f>+VOLUMES!C5</f>
        <v>6554.4</v>
      </c>
      <c r="D50" s="27">
        <f>+VOLUMES!D5</f>
        <v>2368.88</v>
      </c>
      <c r="E50" s="27">
        <f>+VOLUMES!E5</f>
        <v>5878.95</v>
      </c>
      <c r="F50" s="27">
        <f>+VOLUMES!F5</f>
        <v>7865.95</v>
      </c>
      <c r="G50" s="27">
        <f>+VOLUMES!G5</f>
        <v>0</v>
      </c>
      <c r="H50" s="27">
        <f>+VOLUMES!H5</f>
        <v>0</v>
      </c>
      <c r="I50" s="27">
        <f>+VOLUMES!I5</f>
        <v>0</v>
      </c>
      <c r="J50" s="27">
        <f>+VOLUMES!J5</f>
        <v>0</v>
      </c>
      <c r="K50" s="27">
        <f>+VOLUMES!K5</f>
        <v>0</v>
      </c>
      <c r="L50" s="27">
        <f>+VOLUMES!L5</f>
        <v>0</v>
      </c>
      <c r="M50" s="27">
        <f>+VOLUMES!M5</f>
        <v>0</v>
      </c>
      <c r="N50" s="27">
        <f>+VOLUMES!N5</f>
        <v>0</v>
      </c>
      <c r="O50" s="27">
        <f>+VOLUMES!O5</f>
        <v>0</v>
      </c>
      <c r="P50" s="27">
        <f>SUM(C50:O50)</f>
        <v>22668.18</v>
      </c>
    </row>
    <row r="51" spans="1:16" ht="15">
      <c r="A51" s="48">
        <f>ROW()</f>
        <v>51</v>
      </c>
      <c r="B51" s="8" t="s">
        <v>2</v>
      </c>
      <c r="C51" s="27">
        <f>+VOLUMES!C4</f>
        <v>25180.081</v>
      </c>
      <c r="D51" s="27">
        <f>+VOLUMES!D4</f>
        <v>109811.907</v>
      </c>
      <c r="E51" s="27">
        <f>+VOLUMES!E4</f>
        <v>30059.714</v>
      </c>
      <c r="F51" s="27">
        <f>+VOLUMES!F4</f>
        <v>96031.436</v>
      </c>
      <c r="G51" s="27">
        <f>+VOLUMES!G4</f>
        <v>240390.75911626083</v>
      </c>
      <c r="H51" s="27">
        <f>+VOLUMES!H4</f>
        <v>215199.61475564446</v>
      </c>
      <c r="I51" s="27">
        <f>+VOLUMES!I4</f>
        <v>173453.45614886703</v>
      </c>
      <c r="J51" s="27">
        <f>+VOLUMES!J4</f>
        <v>170642.27589171944</v>
      </c>
      <c r="K51" s="27">
        <f>+VOLUMES!K4</f>
        <v>164360.22925303184</v>
      </c>
      <c r="L51" s="27">
        <f>+VOLUMES!L4</f>
        <v>106053.06316308919</v>
      </c>
      <c r="M51" s="27">
        <f>+VOLUMES!M4</f>
        <v>86755.56353636626</v>
      </c>
      <c r="N51" s="27">
        <f>+VOLUMES!N4</f>
        <v>12213.720135020909</v>
      </c>
      <c r="O51" s="27">
        <f>+VOLUMES!O4</f>
        <v>0</v>
      </c>
      <c r="P51" s="27">
        <f aca="true" t="shared" si="11" ref="P51:P57">SUM(C51:O51)</f>
        <v>1430151.8199999998</v>
      </c>
    </row>
    <row r="52" spans="1:16" ht="15">
      <c r="A52" s="48">
        <f>ROW()</f>
        <v>52</v>
      </c>
      <c r="B52" s="170" t="s">
        <v>146</v>
      </c>
      <c r="C52" s="27">
        <f>+VOLUMES!C6</f>
        <v>1E-05</v>
      </c>
      <c r="D52" s="27">
        <f>+VOLUMES!D6</f>
        <v>0</v>
      </c>
      <c r="E52" s="27">
        <f>+VOLUMES!E6</f>
        <v>1139</v>
      </c>
      <c r="F52" s="27">
        <f>+VOLUMES!F6</f>
        <v>3323.1310000000003</v>
      </c>
      <c r="G52" s="27">
        <f>+VOLUMES!G6</f>
        <v>0</v>
      </c>
      <c r="H52" s="27">
        <f>+VOLUMES!H6</f>
        <v>0</v>
      </c>
      <c r="I52" s="27">
        <f>+VOLUMES!I6</f>
        <v>0</v>
      </c>
      <c r="J52" s="27">
        <f>+VOLUMES!J6</f>
        <v>0</v>
      </c>
      <c r="K52" s="27">
        <f>+VOLUMES!K6</f>
        <v>0</v>
      </c>
      <c r="L52" s="27">
        <f>+VOLUMES!L6</f>
        <v>0</v>
      </c>
      <c r="M52" s="27">
        <f>+VOLUMES!M6</f>
        <v>0</v>
      </c>
      <c r="N52" s="27">
        <f>+VOLUMES!N6</f>
        <v>0</v>
      </c>
      <c r="O52" s="27">
        <f>+VOLUMES!O6</f>
        <v>0.001</v>
      </c>
      <c r="P52" s="27">
        <f t="shared" si="11"/>
        <v>4462.13201</v>
      </c>
    </row>
    <row r="53" spans="1:16" ht="15">
      <c r="A53" s="48">
        <f>ROW()</f>
        <v>53</v>
      </c>
      <c r="B53" s="170" t="s">
        <v>147</v>
      </c>
      <c r="C53" s="27">
        <f>+VOLUMES!C7</f>
        <v>35346.422</v>
      </c>
      <c r="D53" s="27">
        <f>+VOLUMES!D7</f>
        <v>21552.251</v>
      </c>
      <c r="E53" s="27">
        <f>+VOLUMES!E7</f>
        <v>31519.374</v>
      </c>
      <c r="F53" s="27">
        <f>+VOLUMES!F7</f>
        <v>39439.311</v>
      </c>
      <c r="G53" s="27">
        <f>+VOLUMES!G7</f>
        <v>35587.604538625936</v>
      </c>
      <c r="H53" s="27">
        <f>+VOLUMES!H7</f>
        <v>34978.000411111556</v>
      </c>
      <c r="I53" s="27">
        <f>+VOLUMES!I7</f>
        <v>34465.77855328368</v>
      </c>
      <c r="J53" s="27">
        <f>+VOLUMES!J7</f>
        <v>35660.17249030311</v>
      </c>
      <c r="K53" s="27">
        <f>+VOLUMES!K7</f>
        <v>32685.46724602914</v>
      </c>
      <c r="L53" s="27">
        <f>+VOLUMES!L7</f>
        <v>30937.36157105408</v>
      </c>
      <c r="M53" s="27">
        <f>+VOLUMES!M7</f>
        <v>34653.917624406546</v>
      </c>
      <c r="N53" s="27">
        <f>+VOLUMES!N7</f>
        <v>26589.208555185935</v>
      </c>
      <c r="O53" s="27">
        <f>+VOLUMES!O7</f>
        <v>0.001</v>
      </c>
      <c r="P53" s="27">
        <f t="shared" si="11"/>
        <v>393414.86999</v>
      </c>
    </row>
    <row r="54" spans="1:16" ht="15">
      <c r="A54" s="48">
        <f>ROW()</f>
        <v>54</v>
      </c>
      <c r="B54" s="170" t="s">
        <v>151</v>
      </c>
      <c r="C54" s="27">
        <f>+VOLUMES!C10</f>
        <v>232</v>
      </c>
      <c r="D54" s="27">
        <f>+VOLUMES!D10</f>
        <v>75</v>
      </c>
      <c r="E54" s="27">
        <f>+VOLUMES!E10</f>
        <v>103</v>
      </c>
      <c r="F54" s="27">
        <f>+VOLUMES!F10</f>
        <v>180</v>
      </c>
      <c r="G54" s="27">
        <f>+VOLUMES!G10</f>
        <v>0</v>
      </c>
      <c r="H54" s="27">
        <f>+VOLUMES!H10</f>
        <v>0</v>
      </c>
      <c r="I54" s="27">
        <f>+VOLUMES!I10</f>
        <v>0</v>
      </c>
      <c r="J54" s="27">
        <f>+VOLUMES!J10</f>
        <v>0</v>
      </c>
      <c r="K54" s="27">
        <f>+VOLUMES!K10</f>
        <v>0</v>
      </c>
      <c r="L54" s="27">
        <f>+VOLUMES!L10</f>
        <v>0</v>
      </c>
      <c r="M54" s="27">
        <f>+VOLUMES!M10</f>
        <v>0</v>
      </c>
      <c r="N54" s="27">
        <f>+VOLUMES!N10</f>
        <v>0</v>
      </c>
      <c r="O54" s="27">
        <f>+VOLUMES!O10</f>
        <v>0.001</v>
      </c>
      <c r="P54" s="27">
        <f>SUM(C54:O54)</f>
        <v>590.001</v>
      </c>
    </row>
    <row r="55" spans="1:16" ht="15">
      <c r="A55" s="48">
        <f>ROW()</f>
        <v>55</v>
      </c>
      <c r="B55" s="170" t="s">
        <v>148</v>
      </c>
      <c r="C55" s="27">
        <f>+VOLUMES!C8</f>
        <v>1E-05</v>
      </c>
      <c r="D55" s="27">
        <f>+VOLUMES!D8</f>
        <v>0</v>
      </c>
      <c r="E55" s="27">
        <f>+VOLUMES!E8</f>
        <v>817</v>
      </c>
      <c r="F55" s="27">
        <f>+VOLUMES!F8</f>
        <v>16621.915</v>
      </c>
      <c r="G55" s="27">
        <f>+VOLUMES!G8</f>
        <v>0</v>
      </c>
      <c r="H55" s="27">
        <f>+VOLUMES!H8</f>
        <v>0</v>
      </c>
      <c r="I55" s="27">
        <f>+VOLUMES!I8</f>
        <v>0</v>
      </c>
      <c r="J55" s="27">
        <f>+VOLUMES!J8</f>
        <v>0</v>
      </c>
      <c r="K55" s="27">
        <f>+VOLUMES!K8</f>
        <v>0</v>
      </c>
      <c r="L55" s="27">
        <f>+VOLUMES!L8</f>
        <v>0</v>
      </c>
      <c r="M55" s="27">
        <f>+VOLUMES!M8</f>
        <v>0</v>
      </c>
      <c r="N55" s="27">
        <f>+VOLUMES!N8</f>
        <v>0</v>
      </c>
      <c r="O55" s="27">
        <f>+VOLUMES!O8</f>
        <v>0.001</v>
      </c>
      <c r="P55" s="27">
        <f t="shared" si="11"/>
        <v>17438.91601</v>
      </c>
    </row>
    <row r="56" spans="1:16" ht="15">
      <c r="A56" s="48">
        <f>ROW()</f>
        <v>56</v>
      </c>
      <c r="B56" s="170" t="s">
        <v>149</v>
      </c>
      <c r="C56" s="27">
        <f>+VOLUMES!C9</f>
        <v>62296.78799999998</v>
      </c>
      <c r="D56" s="27">
        <f>+VOLUMES!D9</f>
        <v>46078.741</v>
      </c>
      <c r="E56" s="27">
        <f>+VOLUMES!E9</f>
        <v>33528.727</v>
      </c>
      <c r="F56" s="27">
        <f>+VOLUMES!F9</f>
        <v>67626.192</v>
      </c>
      <c r="G56" s="27">
        <f>+VOLUMES!G9</f>
        <v>108785.0552037565</v>
      </c>
      <c r="H56" s="27">
        <f>+VOLUMES!H9</f>
        <v>103959.07263377162</v>
      </c>
      <c r="I56" s="27">
        <f>+VOLUMES!I9</f>
        <v>90781.05507754967</v>
      </c>
      <c r="J56" s="27">
        <f>+VOLUMES!J9</f>
        <v>66802.68087397542</v>
      </c>
      <c r="K56" s="27">
        <f>+VOLUMES!K9</f>
        <v>59848.39235340002</v>
      </c>
      <c r="L56" s="27">
        <f>+VOLUMES!L9</f>
        <v>54581.03100219465</v>
      </c>
      <c r="M56" s="27">
        <f>+VOLUMES!M9</f>
        <v>51591.392232208986</v>
      </c>
      <c r="N56" s="27">
        <f>+VOLUMES!N9</f>
        <v>39129.57261314309</v>
      </c>
      <c r="O56" s="27">
        <f>+VOLUMES!O9</f>
        <v>0.001</v>
      </c>
      <c r="P56" s="27">
        <f t="shared" si="11"/>
        <v>785008.7009899999</v>
      </c>
    </row>
    <row r="57" spans="1:16" ht="15">
      <c r="A57" s="48">
        <f>ROW()</f>
        <v>57</v>
      </c>
      <c r="B57" s="8" t="s">
        <v>152</v>
      </c>
      <c r="C57" s="27">
        <f>+VOLUMES!C11</f>
        <v>7267.470999999999</v>
      </c>
      <c r="D57" s="27">
        <f>+VOLUMES!D11</f>
        <v>11238.507</v>
      </c>
      <c r="E57" s="27">
        <f>+VOLUMES!E11</f>
        <v>6369.084</v>
      </c>
      <c r="F57" s="27">
        <f>+VOLUMES!F11</f>
        <v>1895.323</v>
      </c>
      <c r="G57" s="27">
        <f>+VOLUMES!G11</f>
        <v>0</v>
      </c>
      <c r="H57" s="27">
        <f>+VOLUMES!H11</f>
        <v>0</v>
      </c>
      <c r="I57" s="27">
        <f>+VOLUMES!I11</f>
        <v>0</v>
      </c>
      <c r="J57" s="27">
        <f>+VOLUMES!J11</f>
        <v>0</v>
      </c>
      <c r="K57" s="27">
        <f>+VOLUMES!K11</f>
        <v>0</v>
      </c>
      <c r="L57" s="27">
        <f>+VOLUMES!L11</f>
        <v>0</v>
      </c>
      <c r="M57" s="27">
        <f>+VOLUMES!M11</f>
        <v>0</v>
      </c>
      <c r="N57" s="27">
        <f>+VOLUMES!N11</f>
        <v>0</v>
      </c>
      <c r="O57" s="27">
        <f>+VOLUMES!O11</f>
        <v>0.001</v>
      </c>
      <c r="P57" s="27">
        <f t="shared" si="11"/>
        <v>26770.386</v>
      </c>
    </row>
    <row r="58" ht="12.75">
      <c r="A58" s="48">
        <f>ROW()</f>
        <v>58</v>
      </c>
    </row>
    <row r="59" spans="1:16" ht="15.75" thickBot="1">
      <c r="A59" s="48">
        <f>ROW()</f>
        <v>59</v>
      </c>
      <c r="B59" s="5" t="s">
        <v>56</v>
      </c>
      <c r="C59" s="1"/>
      <c r="D59" s="1"/>
      <c r="E59" s="1"/>
      <c r="F59" s="1"/>
      <c r="G59" s="1"/>
      <c r="H59" s="1"/>
      <c r="I59" s="1"/>
      <c r="J59" s="1"/>
      <c r="K59" s="1"/>
      <c r="L59" s="1"/>
      <c r="M59" s="1"/>
      <c r="N59" s="1"/>
      <c r="O59" s="1"/>
      <c r="P59" s="1"/>
    </row>
    <row r="60" spans="1:16" ht="15">
      <c r="A60" s="48">
        <f>ROW()</f>
        <v>60</v>
      </c>
      <c r="B60" s="17" t="s">
        <v>18</v>
      </c>
      <c r="C60" s="25" t="s">
        <v>138</v>
      </c>
      <c r="D60" s="25" t="s">
        <v>139</v>
      </c>
      <c r="E60" s="25" t="s">
        <v>8</v>
      </c>
      <c r="F60" s="25" t="s">
        <v>9</v>
      </c>
      <c r="G60" s="25" t="s">
        <v>10</v>
      </c>
      <c r="H60" s="25" t="s">
        <v>11</v>
      </c>
      <c r="I60" s="25" t="s">
        <v>12</v>
      </c>
      <c r="J60" s="25" t="s">
        <v>13</v>
      </c>
      <c r="K60" s="25" t="s">
        <v>14</v>
      </c>
      <c r="L60" s="25" t="s">
        <v>15</v>
      </c>
      <c r="M60" s="25" t="s">
        <v>16</v>
      </c>
      <c r="N60" s="25" t="s">
        <v>17</v>
      </c>
      <c r="O60" s="25" t="s">
        <v>103</v>
      </c>
      <c r="P60" s="26" t="s">
        <v>5</v>
      </c>
    </row>
    <row r="61" spans="1:16" ht="15">
      <c r="A61" s="48">
        <f>ROW()</f>
        <v>61</v>
      </c>
      <c r="B61" s="8" t="s">
        <v>1</v>
      </c>
      <c r="C61" s="27">
        <f>+VOLUMES!C5</f>
        <v>6554.4</v>
      </c>
      <c r="D61" s="27">
        <f>+VOLUMES!D5+C61</f>
        <v>8923.279999999999</v>
      </c>
      <c r="E61" s="27">
        <f>+VOLUMES!E5+D61</f>
        <v>14802.23</v>
      </c>
      <c r="F61" s="27">
        <f>+VOLUMES!F5+E61</f>
        <v>22668.18</v>
      </c>
      <c r="G61" s="27">
        <f>+VOLUMES!G5+F61</f>
        <v>22668.18</v>
      </c>
      <c r="H61" s="27">
        <f>+VOLUMES!H5+G61</f>
        <v>22668.18</v>
      </c>
      <c r="I61" s="27">
        <f>+VOLUMES!I5+H61</f>
        <v>22668.18</v>
      </c>
      <c r="J61" s="27">
        <f>+VOLUMES!J5+I61</f>
        <v>22668.18</v>
      </c>
      <c r="K61" s="27">
        <f>+VOLUMES!K5+J61</f>
        <v>22668.18</v>
      </c>
      <c r="L61" s="27">
        <f>+VOLUMES!L5+K61</f>
        <v>22668.18</v>
      </c>
      <c r="M61" s="27">
        <f>+VOLUMES!M5+L61</f>
        <v>22668.18</v>
      </c>
      <c r="N61" s="27">
        <f>+VOLUMES!N5+M61</f>
        <v>22668.18</v>
      </c>
      <c r="O61" s="27">
        <f>+VOLUMES!O5+N61</f>
        <v>22668.18</v>
      </c>
      <c r="P61" s="27">
        <f>+O61</f>
        <v>22668.18</v>
      </c>
    </row>
    <row r="62" spans="1:16" ht="15">
      <c r="A62" s="48">
        <f>ROW()</f>
        <v>62</v>
      </c>
      <c r="B62" s="8" t="s">
        <v>2</v>
      </c>
      <c r="C62" s="27">
        <f>+VOLUMES!C4</f>
        <v>25180.081</v>
      </c>
      <c r="D62" s="27">
        <f>+VOLUMES!D4+C62</f>
        <v>134991.988</v>
      </c>
      <c r="E62" s="27">
        <f>+VOLUMES!E4+D62</f>
        <v>165051.70200000002</v>
      </c>
      <c r="F62" s="27">
        <f>+VOLUMES!F4+E62</f>
        <v>261083.13800000004</v>
      </c>
      <c r="G62" s="27">
        <f>+VOLUMES!G4+F62</f>
        <v>501473.89711626084</v>
      </c>
      <c r="H62" s="27">
        <f>+VOLUMES!H4+G62</f>
        <v>716673.5118719053</v>
      </c>
      <c r="I62" s="27">
        <f>+VOLUMES!I4+H62</f>
        <v>890126.9680207723</v>
      </c>
      <c r="J62" s="27">
        <f>+VOLUMES!J4+I62</f>
        <v>1060769.2439124917</v>
      </c>
      <c r="K62" s="27">
        <f>+VOLUMES!K4+J62</f>
        <v>1225129.4731655235</v>
      </c>
      <c r="L62" s="27">
        <f>+VOLUMES!L4+K62</f>
        <v>1331182.5363286126</v>
      </c>
      <c r="M62" s="27">
        <f>+VOLUMES!M4+L62</f>
        <v>1417938.0998649788</v>
      </c>
      <c r="N62" s="27">
        <f>+VOLUMES!N4+M62</f>
        <v>1430151.8199999998</v>
      </c>
      <c r="O62" s="27">
        <f>+VOLUMES!O4+N62</f>
        <v>1430151.8199999998</v>
      </c>
      <c r="P62" s="27">
        <f aca="true" t="shared" si="12" ref="P62:P68">+O62</f>
        <v>1430151.8199999998</v>
      </c>
    </row>
    <row r="63" spans="1:16" ht="15">
      <c r="A63" s="48">
        <f>ROW()</f>
        <v>63</v>
      </c>
      <c r="B63" s="170" t="s">
        <v>146</v>
      </c>
      <c r="C63" s="27">
        <f>+VOLUMES!C6</f>
        <v>1E-05</v>
      </c>
      <c r="D63" s="27">
        <f>+VOLUMES!D6+C63</f>
        <v>1E-05</v>
      </c>
      <c r="E63" s="27">
        <f>+VOLUMES!E6+D63</f>
        <v>1139.00001</v>
      </c>
      <c r="F63" s="27">
        <f>+VOLUMES!F6+E63</f>
        <v>4462.13101</v>
      </c>
      <c r="G63" s="27">
        <f>+VOLUMES!G6+F63</f>
        <v>4462.13101</v>
      </c>
      <c r="H63" s="27">
        <f>+VOLUMES!H6+G63</f>
        <v>4462.13101</v>
      </c>
      <c r="I63" s="27">
        <f>+VOLUMES!I6+H63</f>
        <v>4462.13101</v>
      </c>
      <c r="J63" s="27">
        <f>+VOLUMES!J6+I63</f>
        <v>4462.13101</v>
      </c>
      <c r="K63" s="27">
        <f>+VOLUMES!K6+J63</f>
        <v>4462.13101</v>
      </c>
      <c r="L63" s="27">
        <f>+VOLUMES!L6+K63</f>
        <v>4462.13101</v>
      </c>
      <c r="M63" s="27">
        <f>+VOLUMES!M6+L63</f>
        <v>4462.13101</v>
      </c>
      <c r="N63" s="27">
        <f>+VOLUMES!N6+M63</f>
        <v>4462.13101</v>
      </c>
      <c r="O63" s="27">
        <f>+VOLUMES!O6+N63</f>
        <v>4462.13201</v>
      </c>
      <c r="P63" s="27">
        <f t="shared" si="12"/>
        <v>4462.13201</v>
      </c>
    </row>
    <row r="64" spans="1:16" ht="15">
      <c r="A64" s="48">
        <f>ROW()</f>
        <v>64</v>
      </c>
      <c r="B64" s="170" t="s">
        <v>147</v>
      </c>
      <c r="C64" s="27">
        <f>+VOLUMES!C7</f>
        <v>35346.422</v>
      </c>
      <c r="D64" s="27">
        <f>+VOLUMES!D7+C64</f>
        <v>56898.672999999995</v>
      </c>
      <c r="E64" s="27">
        <f>+VOLUMES!E7+D64</f>
        <v>88418.04699999999</v>
      </c>
      <c r="F64" s="27">
        <f>+VOLUMES!F7+E64</f>
        <v>127857.358</v>
      </c>
      <c r="G64" s="27">
        <f>+VOLUMES!G7+F64</f>
        <v>163444.96253862593</v>
      </c>
      <c r="H64" s="27">
        <f>+VOLUMES!H7+G64</f>
        <v>198422.9629497375</v>
      </c>
      <c r="I64" s="27">
        <f>+VOLUMES!I7+H64</f>
        <v>232888.74150302119</v>
      </c>
      <c r="J64" s="27">
        <f>+VOLUMES!J7+I64</f>
        <v>268548.91399332427</v>
      </c>
      <c r="K64" s="27">
        <f>+VOLUMES!K7+J64</f>
        <v>301234.3812393534</v>
      </c>
      <c r="L64" s="27">
        <f>+VOLUMES!L7+K64</f>
        <v>332171.7428104075</v>
      </c>
      <c r="M64" s="27">
        <f>+VOLUMES!M7+L64</f>
        <v>366825.66043481405</v>
      </c>
      <c r="N64" s="27">
        <f>+VOLUMES!N7+M64</f>
        <v>393414.86899</v>
      </c>
      <c r="O64" s="27">
        <f>+VOLUMES!O7+N64</f>
        <v>393414.86999</v>
      </c>
      <c r="P64" s="27">
        <f t="shared" si="12"/>
        <v>393414.86999</v>
      </c>
    </row>
    <row r="65" spans="1:16" ht="15">
      <c r="A65" s="48">
        <f>ROW()</f>
        <v>65</v>
      </c>
      <c r="B65" s="170" t="s">
        <v>151</v>
      </c>
      <c r="C65" s="27">
        <f>+VOLUMES!C10</f>
        <v>232</v>
      </c>
      <c r="D65" s="27">
        <f>+VOLUMES!D10+C65</f>
        <v>307</v>
      </c>
      <c r="E65" s="27">
        <f>+VOLUMES!E10+D65</f>
        <v>410</v>
      </c>
      <c r="F65" s="27">
        <f>+VOLUMES!F10+E65</f>
        <v>590</v>
      </c>
      <c r="G65" s="27">
        <f>+VOLUMES!G10+F65</f>
        <v>590</v>
      </c>
      <c r="H65" s="27">
        <f>+VOLUMES!H10+G65</f>
        <v>590</v>
      </c>
      <c r="I65" s="27">
        <f>+VOLUMES!I10+H65</f>
        <v>590</v>
      </c>
      <c r="J65" s="27">
        <f>+VOLUMES!J10+I65</f>
        <v>590</v>
      </c>
      <c r="K65" s="27">
        <f>+VOLUMES!K10+J65</f>
        <v>590</v>
      </c>
      <c r="L65" s="27">
        <f>+VOLUMES!L10+K65</f>
        <v>590</v>
      </c>
      <c r="M65" s="27">
        <f>+VOLUMES!M10+L65</f>
        <v>590</v>
      </c>
      <c r="N65" s="27">
        <f>+VOLUMES!N10+M65</f>
        <v>590</v>
      </c>
      <c r="O65" s="27">
        <f>+VOLUMES!O10+N65</f>
        <v>590.001</v>
      </c>
      <c r="P65" s="27">
        <f>+O65</f>
        <v>590.001</v>
      </c>
    </row>
    <row r="66" spans="1:16" ht="15">
      <c r="A66" s="48">
        <f>ROW()</f>
        <v>66</v>
      </c>
      <c r="B66" s="170" t="s">
        <v>148</v>
      </c>
      <c r="C66" s="27">
        <f>+VOLUMES!C8</f>
        <v>1E-05</v>
      </c>
      <c r="D66" s="27">
        <f>+VOLUMES!D8+C66</f>
        <v>1E-05</v>
      </c>
      <c r="E66" s="27">
        <f>+VOLUMES!E8+D66</f>
        <v>817.00001</v>
      </c>
      <c r="F66" s="27">
        <f>+VOLUMES!F8+E66</f>
        <v>17438.91501</v>
      </c>
      <c r="G66" s="27">
        <f>+VOLUMES!G8+F66</f>
        <v>17438.91501</v>
      </c>
      <c r="H66" s="27">
        <f>+VOLUMES!H8+G66</f>
        <v>17438.91501</v>
      </c>
      <c r="I66" s="27">
        <f>+VOLUMES!I8+H66</f>
        <v>17438.91501</v>
      </c>
      <c r="J66" s="27">
        <f>+VOLUMES!J8+I66</f>
        <v>17438.91501</v>
      </c>
      <c r="K66" s="27">
        <f>+VOLUMES!K8+J66</f>
        <v>17438.91501</v>
      </c>
      <c r="L66" s="27">
        <f>+VOLUMES!L8+K66</f>
        <v>17438.91501</v>
      </c>
      <c r="M66" s="27">
        <f>+VOLUMES!M8+L66</f>
        <v>17438.91501</v>
      </c>
      <c r="N66" s="27">
        <f>+VOLUMES!N8+M66</f>
        <v>17438.91501</v>
      </c>
      <c r="O66" s="27">
        <f>+VOLUMES!O8+N66</f>
        <v>17438.91601</v>
      </c>
      <c r="P66" s="27">
        <f t="shared" si="12"/>
        <v>17438.91601</v>
      </c>
    </row>
    <row r="67" spans="1:16" ht="15">
      <c r="A67" s="48">
        <f>ROW()</f>
        <v>67</v>
      </c>
      <c r="B67" s="170" t="s">
        <v>149</v>
      </c>
      <c r="C67" s="27">
        <f>+VOLUMES!C9</f>
        <v>62296.78799999998</v>
      </c>
      <c r="D67" s="27">
        <f>+VOLUMES!D9+C67</f>
        <v>108375.52899999998</v>
      </c>
      <c r="E67" s="27">
        <f>+VOLUMES!E9+D67</f>
        <v>141904.256</v>
      </c>
      <c r="F67" s="27">
        <f>+VOLUMES!F9+E67</f>
        <v>209530.44799999997</v>
      </c>
      <c r="G67" s="27">
        <f>+VOLUMES!G9+F67</f>
        <v>318315.50320375647</v>
      </c>
      <c r="H67" s="27">
        <f>+VOLUMES!H9+G67</f>
        <v>422274.5758375281</v>
      </c>
      <c r="I67" s="27">
        <f>+VOLUMES!I9+H67</f>
        <v>513055.63091507775</v>
      </c>
      <c r="J67" s="27">
        <f>+VOLUMES!J9+I67</f>
        <v>579858.3117890531</v>
      </c>
      <c r="K67" s="27">
        <f>+VOLUMES!K9+J67</f>
        <v>639706.7041424531</v>
      </c>
      <c r="L67" s="27">
        <f>+VOLUMES!L9+K67</f>
        <v>694287.7351446478</v>
      </c>
      <c r="M67" s="27">
        <f>+VOLUMES!M9+L67</f>
        <v>745879.1273768567</v>
      </c>
      <c r="N67" s="27">
        <f>+VOLUMES!N9+M67</f>
        <v>785008.6999899999</v>
      </c>
      <c r="O67" s="27">
        <f>+VOLUMES!O9+N67</f>
        <v>785008.7009899999</v>
      </c>
      <c r="P67" s="27">
        <f t="shared" si="12"/>
        <v>785008.7009899999</v>
      </c>
    </row>
    <row r="68" spans="1:16" ht="15">
      <c r="A68" s="48">
        <f>ROW()</f>
        <v>68</v>
      </c>
      <c r="B68" s="8" t="s">
        <v>152</v>
      </c>
      <c r="C68" s="27">
        <f>+VOLUMES!C11</f>
        <v>7267.470999999999</v>
      </c>
      <c r="D68" s="27">
        <f>+VOLUMES!D11+C68</f>
        <v>18505.978</v>
      </c>
      <c r="E68" s="27">
        <f>+VOLUMES!E11+D68</f>
        <v>24875.061999999998</v>
      </c>
      <c r="F68" s="27">
        <f>+VOLUMES!F11+E68</f>
        <v>26770.385</v>
      </c>
      <c r="G68" s="27">
        <f>+VOLUMES!G11+F68</f>
        <v>26770.385</v>
      </c>
      <c r="H68" s="27">
        <f>+VOLUMES!H11+G68</f>
        <v>26770.385</v>
      </c>
      <c r="I68" s="27">
        <f>+VOLUMES!I11+H68</f>
        <v>26770.385</v>
      </c>
      <c r="J68" s="27">
        <f>+VOLUMES!J11+I68</f>
        <v>26770.385</v>
      </c>
      <c r="K68" s="27">
        <f>+VOLUMES!K11+J68</f>
        <v>26770.385</v>
      </c>
      <c r="L68" s="27">
        <f>+VOLUMES!L11+K68</f>
        <v>26770.385</v>
      </c>
      <c r="M68" s="27">
        <f>+VOLUMES!M11+L68</f>
        <v>26770.385</v>
      </c>
      <c r="N68" s="27">
        <f>+VOLUMES!N11+M68</f>
        <v>26770.385</v>
      </c>
      <c r="O68" s="27">
        <f>+VOLUMES!O11+N68</f>
        <v>26770.386</v>
      </c>
      <c r="P68" s="27">
        <f t="shared" si="12"/>
        <v>26770.386</v>
      </c>
    </row>
    <row r="69" ht="12.75">
      <c r="A69" s="48">
        <f>ROW()</f>
        <v>69</v>
      </c>
    </row>
    <row r="70" spans="1:16" ht="15.75" thickBot="1">
      <c r="A70" s="48">
        <f>ROW()</f>
        <v>70</v>
      </c>
      <c r="B70" s="5" t="s">
        <v>58</v>
      </c>
      <c r="C70" s="1"/>
      <c r="D70" s="1"/>
      <c r="E70" s="1"/>
      <c r="F70" s="1"/>
      <c r="G70" s="1"/>
      <c r="H70" s="1"/>
      <c r="I70" s="1"/>
      <c r="J70" s="1"/>
      <c r="K70" s="1"/>
      <c r="L70" s="1"/>
      <c r="M70" s="1"/>
      <c r="N70" s="1"/>
      <c r="O70" s="1"/>
      <c r="P70" s="1"/>
    </row>
    <row r="71" spans="1:16" ht="15">
      <c r="A71" s="48">
        <f>ROW()</f>
        <v>71</v>
      </c>
      <c r="B71" s="17" t="s">
        <v>18</v>
      </c>
      <c r="C71" s="25" t="s">
        <v>138</v>
      </c>
      <c r="D71" s="25" t="s">
        <v>139</v>
      </c>
      <c r="E71" s="25" t="s">
        <v>8</v>
      </c>
      <c r="F71" s="25" t="s">
        <v>9</v>
      </c>
      <c r="G71" s="25" t="s">
        <v>10</v>
      </c>
      <c r="H71" s="25" t="s">
        <v>11</v>
      </c>
      <c r="I71" s="25" t="s">
        <v>12</v>
      </c>
      <c r="J71" s="25" t="s">
        <v>13</v>
      </c>
      <c r="K71" s="25" t="s">
        <v>14</v>
      </c>
      <c r="L71" s="25" t="s">
        <v>15</v>
      </c>
      <c r="M71" s="25" t="s">
        <v>16</v>
      </c>
      <c r="N71" s="25" t="s">
        <v>17</v>
      </c>
      <c r="O71" s="25" t="s">
        <v>103</v>
      </c>
      <c r="P71" s="26" t="s">
        <v>5</v>
      </c>
    </row>
    <row r="72" spans="1:16" ht="15">
      <c r="A72" s="48">
        <f>ROW()</f>
        <v>72</v>
      </c>
      <c r="B72" s="8" t="s">
        <v>1</v>
      </c>
      <c r="C72" s="7">
        <f>+PREÇOS!D6</f>
        <v>69.03</v>
      </c>
      <c r="D72" s="7">
        <f>+PREÇOS!E6</f>
        <v>52.57</v>
      </c>
      <c r="E72" s="7">
        <f>+PREÇOS!F6</f>
        <v>60.9</v>
      </c>
      <c r="F72" s="7">
        <f>+PREÇOS!G6</f>
        <v>60.62</v>
      </c>
      <c r="G72" s="7">
        <f>+PREÇOS!H6</f>
        <v>0</v>
      </c>
      <c r="H72" s="7">
        <f>+PREÇOS!I6</f>
        <v>0</v>
      </c>
      <c r="I72" s="7">
        <f>+PREÇOS!J6</f>
        <v>0</v>
      </c>
      <c r="J72" s="7">
        <f>+PREÇOS!K6</f>
        <v>0</v>
      </c>
      <c r="K72" s="7">
        <f>+PREÇOS!L6</f>
        <v>0</v>
      </c>
      <c r="L72" s="7">
        <f>+PREÇOS!M6</f>
        <v>0</v>
      </c>
      <c r="M72" s="7">
        <f>+PREÇOS!N6</f>
        <v>0</v>
      </c>
      <c r="N72" s="7">
        <f>+PREÇOS!O6</f>
        <v>0</v>
      </c>
      <c r="O72" s="7">
        <f>+PREÇOS!P6</f>
        <v>62.283085699866504</v>
      </c>
      <c r="P72" s="7">
        <f>+P83</f>
        <v>62.283085699866504</v>
      </c>
    </row>
    <row r="73" spans="1:16" ht="15">
      <c r="A73" s="48">
        <f>ROW()</f>
        <v>73</v>
      </c>
      <c r="B73" s="8" t="s">
        <v>2</v>
      </c>
      <c r="C73" s="7">
        <f>+PREÇOS!D7</f>
        <v>57.43</v>
      </c>
      <c r="D73" s="7">
        <f>+PREÇOS!E7</f>
        <v>62.18</v>
      </c>
      <c r="E73" s="7">
        <f>+PREÇOS!F7</f>
        <v>68.72</v>
      </c>
      <c r="F73" s="7">
        <f>+PREÇOS!G7</f>
        <v>68.69</v>
      </c>
      <c r="G73" s="7">
        <f>+PREÇOS!H7</f>
        <v>71.72831069689903</v>
      </c>
      <c r="H73" s="7">
        <f>+PREÇOS!I7</f>
        <v>71.41754549782611</v>
      </c>
      <c r="I73" s="7">
        <f>+PREÇOS!J7</f>
        <v>71.10678029875316</v>
      </c>
      <c r="J73" s="7">
        <f>+PREÇOS!K7</f>
        <v>71.30813704871221</v>
      </c>
      <c r="K73" s="7">
        <f>+PREÇOS!L7</f>
        <v>71.50949379867126</v>
      </c>
      <c r="L73" s="7">
        <f>+PREÇOS!M7</f>
        <v>71.71085054863028</v>
      </c>
      <c r="M73" s="7">
        <f>+PREÇOS!N7</f>
        <v>71.91220729858934</v>
      </c>
      <c r="N73" s="7">
        <f>+PREÇOS!O7</f>
        <v>72.1135640485484</v>
      </c>
      <c r="O73" s="7">
        <f>+PREÇOS!P7</f>
        <v>70.2918948565264</v>
      </c>
      <c r="P73" s="7">
        <f>+P84</f>
        <v>70.2918948565264</v>
      </c>
    </row>
    <row r="74" spans="1:16" ht="15">
      <c r="A74" s="48">
        <f>ROW()</f>
        <v>74</v>
      </c>
      <c r="B74" s="170" t="s">
        <v>146</v>
      </c>
      <c r="C74" s="7">
        <f>+PREÇOS!D8</f>
        <v>0</v>
      </c>
      <c r="D74" s="7">
        <f>+PREÇOS!E8</f>
        <v>0</v>
      </c>
      <c r="E74" s="7">
        <f>+PREÇOS!F8</f>
        <v>1654.83</v>
      </c>
      <c r="F74" s="7">
        <f>+PREÇOS!G8</f>
        <v>1792.02</v>
      </c>
      <c r="G74" s="7">
        <f>+PREÇOS!H8</f>
        <v>0</v>
      </c>
      <c r="H74" s="7">
        <f>+PREÇOS!I8</f>
        <v>0</v>
      </c>
      <c r="I74" s="7">
        <f>+PREÇOS!J8</f>
        <v>0</v>
      </c>
      <c r="J74" s="7">
        <f>+PREÇOS!K8</f>
        <v>0</v>
      </c>
      <c r="K74" s="7">
        <f>+PREÇOS!L8</f>
        <v>0</v>
      </c>
      <c r="L74" s="7">
        <f>+PREÇOS!M8</f>
        <v>0</v>
      </c>
      <c r="M74" s="7">
        <f>+PREÇOS!N8</f>
        <v>0</v>
      </c>
      <c r="N74" s="7">
        <f>+PREÇOS!O8</f>
        <v>0</v>
      </c>
      <c r="O74" s="7">
        <f>+PREÇOS!P8</f>
        <v>1757.000986087139</v>
      </c>
      <c r="P74" s="7">
        <f>+P85</f>
        <v>1757.000986087139</v>
      </c>
    </row>
    <row r="75" spans="1:16" ht="15">
      <c r="A75" s="48">
        <f>ROW()</f>
        <v>75</v>
      </c>
      <c r="B75" s="170" t="s">
        <v>147</v>
      </c>
      <c r="C75" s="7">
        <f>+PREÇOS!D9</f>
        <v>1658.03</v>
      </c>
      <c r="D75" s="7">
        <f>+PREÇOS!E9</f>
        <v>1557.56</v>
      </c>
      <c r="E75" s="7">
        <f>+PREÇOS!F9</f>
        <v>1804.75</v>
      </c>
      <c r="F75" s="7">
        <f>+PREÇOS!G9</f>
        <v>1820.11</v>
      </c>
      <c r="G75" s="7">
        <f>+PREÇOS!H9</f>
        <v>1790.3779354750136</v>
      </c>
      <c r="H75" s="7">
        <f>+PREÇOS!I9</f>
        <v>1815.8144907590147</v>
      </c>
      <c r="I75" s="7">
        <f>+PREÇOS!J9</f>
        <v>1862.5073951370132</v>
      </c>
      <c r="J75" s="7">
        <f>+PREÇOS!K9</f>
        <v>1956.284738059883</v>
      </c>
      <c r="K75" s="7">
        <f>+PREÇOS!L9</f>
        <v>1974.3269140871403</v>
      </c>
      <c r="L75" s="7">
        <f>+PREÇOS!M9</f>
        <v>2003.1998839292032</v>
      </c>
      <c r="M75" s="7">
        <f>+PREÇOS!N9</f>
        <v>2051.138148335963</v>
      </c>
      <c r="N75" s="7">
        <f>+PREÇOS!O9</f>
        <v>2051.0823143627667</v>
      </c>
      <c r="O75" s="7">
        <f>+PREÇOS!P9</f>
        <v>1866.0911668464528</v>
      </c>
      <c r="P75" s="7">
        <f>+P86</f>
        <v>1866.0911668464528</v>
      </c>
    </row>
    <row r="76" spans="1:16" ht="15">
      <c r="A76" s="48">
        <f>ROW()</f>
        <v>76</v>
      </c>
      <c r="B76" s="170" t="s">
        <v>151</v>
      </c>
      <c r="C76" s="7">
        <f>+PREÇOS!D10</f>
        <v>2065.44</v>
      </c>
      <c r="D76" s="7">
        <f>+PREÇOS!E10</f>
        <v>1629.1</v>
      </c>
      <c r="E76" s="7">
        <f>+PREÇOS!F10</f>
        <v>1827.86</v>
      </c>
      <c r="F76" s="7">
        <f>+PREÇOS!G10</f>
        <v>1934.67</v>
      </c>
      <c r="G76" s="7">
        <f>+PREÇOS!H10</f>
        <v>0</v>
      </c>
      <c r="H76" s="7">
        <f>+PREÇOS!I10</f>
        <v>0</v>
      </c>
      <c r="I76" s="7">
        <f>+PREÇOS!J10</f>
        <v>0</v>
      </c>
      <c r="J76" s="7">
        <f>+PREÇOS!K10</f>
        <v>0</v>
      </c>
      <c r="K76" s="7">
        <f>+PREÇOS!L10</f>
        <v>0</v>
      </c>
      <c r="L76" s="7">
        <f>+PREÇOS!M10</f>
        <v>0</v>
      </c>
      <c r="M76" s="7">
        <f>+PREÇOS!N10</f>
        <v>0</v>
      </c>
      <c r="N76" s="7">
        <f>+PREÇOS!O10</f>
        <v>0</v>
      </c>
      <c r="O76" s="7">
        <f>+PREÇOS!P10</f>
        <v>1928.6012881355932</v>
      </c>
      <c r="P76" s="7">
        <f>+P89</f>
        <v>1654.2009308135596</v>
      </c>
    </row>
    <row r="77" spans="1:16" ht="15">
      <c r="A77" s="48">
        <f>ROW()</f>
        <v>77</v>
      </c>
      <c r="B77" s="170" t="s">
        <v>148</v>
      </c>
      <c r="C77" s="7">
        <f>+PREÇOS!D11</f>
        <v>0</v>
      </c>
      <c r="D77" s="7">
        <f>+PREÇOS!E11</f>
        <v>0</v>
      </c>
      <c r="E77" s="7">
        <f>+PREÇOS!F11</f>
        <v>1554.01</v>
      </c>
      <c r="F77" s="7">
        <f>+PREÇOS!G11</f>
        <v>1967.006</v>
      </c>
      <c r="G77" s="7">
        <f>+PREÇOS!H11</f>
        <v>0</v>
      </c>
      <c r="H77" s="7">
        <f>+PREÇOS!I11</f>
        <v>0</v>
      </c>
      <c r="I77" s="7">
        <f>+PREÇOS!J11</f>
        <v>0</v>
      </c>
      <c r="J77" s="7">
        <f>+PREÇOS!K11</f>
        <v>0</v>
      </c>
      <c r="K77" s="7">
        <f>+PREÇOS!L11</f>
        <v>0</v>
      </c>
      <c r="L77" s="7">
        <f>+PREÇOS!M11</f>
        <v>0</v>
      </c>
      <c r="M77" s="7">
        <f>+PREÇOS!N11</f>
        <v>0</v>
      </c>
      <c r="N77" s="7">
        <f>+PREÇOS!O11</f>
        <v>0</v>
      </c>
      <c r="O77" s="7">
        <f>+PREÇOS!P11</f>
        <v>1947.65744812756</v>
      </c>
      <c r="P77" s="7">
        <f>+P88</f>
        <v>1947.65744812756</v>
      </c>
    </row>
    <row r="78" spans="1:16" ht="15">
      <c r="A78" s="48">
        <f>ROW()</f>
        <v>78</v>
      </c>
      <c r="B78" s="170" t="s">
        <v>149</v>
      </c>
      <c r="C78" s="7">
        <f>+PREÇOS!D12</f>
        <v>1350.67</v>
      </c>
      <c r="D78" s="7">
        <f>+PREÇOS!E12</f>
        <v>1384.84</v>
      </c>
      <c r="E78" s="7">
        <f>+PREÇOS!F12</f>
        <v>1592.82</v>
      </c>
      <c r="F78" s="7">
        <f>+PREÇOS!G12</f>
        <v>1629.33</v>
      </c>
      <c r="G78" s="7">
        <f>+PREÇOS!H12</f>
        <v>1612.1138037636429</v>
      </c>
      <c r="H78" s="7">
        <f>+PREÇOS!I12</f>
        <v>1640.6604527184336</v>
      </c>
      <c r="I78" s="7">
        <f>+PREÇOS!J12</f>
        <v>1693.6044809086925</v>
      </c>
      <c r="J78" s="7">
        <f>+PREÇOS!K12</f>
        <v>1742.4074072334063</v>
      </c>
      <c r="K78" s="7">
        <f>+PREÇOS!L12</f>
        <v>1770.3986421312798</v>
      </c>
      <c r="L78" s="7">
        <f>+PREÇOS!M12</f>
        <v>1796.23356363171</v>
      </c>
      <c r="M78" s="7">
        <f>+PREÇOS!N12</f>
        <v>1841.5559303302964</v>
      </c>
      <c r="N78" s="7">
        <f>+PREÇOS!O12</f>
        <v>1838.3304003543958</v>
      </c>
      <c r="O78" s="7">
        <f>+PREÇOS!P12</f>
        <v>1654.2009308135596</v>
      </c>
      <c r="P78" s="7">
        <f>+P89</f>
        <v>1654.2009308135596</v>
      </c>
    </row>
    <row r="79" spans="1:16" ht="15">
      <c r="A79" s="48">
        <f>ROW()</f>
        <v>79</v>
      </c>
      <c r="B79" s="8" t="s">
        <v>152</v>
      </c>
      <c r="C79" s="7">
        <f>+PREÇOS!D13</f>
        <v>1631.9</v>
      </c>
      <c r="D79" s="7">
        <f>+PREÇOS!E13</f>
        <v>1439.08</v>
      </c>
      <c r="E79" s="7">
        <f>+PREÇOS!F13</f>
        <v>1634.05</v>
      </c>
      <c r="F79" s="7">
        <f>+PREÇOS!G13</f>
        <v>1691.93</v>
      </c>
      <c r="G79" s="7">
        <f>+PREÇOS!H13</f>
        <v>0</v>
      </c>
      <c r="H79" s="7">
        <f>+PREÇOS!I13</f>
        <v>0</v>
      </c>
      <c r="I79" s="7">
        <f>+PREÇOS!J13</f>
        <v>0</v>
      </c>
      <c r="J79" s="7">
        <f>+PREÇOS!K13</f>
        <v>0</v>
      </c>
      <c r="K79" s="7">
        <f>+PREÇOS!L13</f>
        <v>0</v>
      </c>
      <c r="L79" s="7">
        <f>+PREÇOS!M13</f>
        <v>0</v>
      </c>
      <c r="M79" s="7">
        <f>+PREÇOS!N13</f>
        <v>0</v>
      </c>
      <c r="N79" s="7">
        <f>+PREÇOS!O13</f>
        <v>0</v>
      </c>
      <c r="O79" s="7">
        <f>+PREÇOS!P13</f>
        <v>1555.7136041207477</v>
      </c>
      <c r="P79" s="7">
        <f>+P90</f>
        <v>1555.7136041207475</v>
      </c>
    </row>
    <row r="80" ht="12.75">
      <c r="A80" s="48">
        <f>ROW()</f>
        <v>80</v>
      </c>
    </row>
    <row r="81" spans="1:16" ht="15.75" thickBot="1">
      <c r="A81" s="48">
        <f>ROW()</f>
        <v>81</v>
      </c>
      <c r="B81" s="5" t="s">
        <v>55</v>
      </c>
      <c r="C81" s="1"/>
      <c r="D81" s="1"/>
      <c r="E81" s="1"/>
      <c r="F81" s="1"/>
      <c r="G81" s="1"/>
      <c r="H81" s="1"/>
      <c r="I81" s="1"/>
      <c r="J81" s="1"/>
      <c r="K81" s="1"/>
      <c r="L81" s="1"/>
      <c r="M81" s="1"/>
      <c r="N81" s="1"/>
      <c r="O81" s="1"/>
      <c r="P81" s="1"/>
    </row>
    <row r="82" spans="1:16" ht="15">
      <c r="A82" s="48">
        <f>ROW()</f>
        <v>82</v>
      </c>
      <c r="B82" s="17" t="s">
        <v>18</v>
      </c>
      <c r="C82" s="25" t="s">
        <v>138</v>
      </c>
      <c r="D82" s="25" t="s">
        <v>139</v>
      </c>
      <c r="E82" s="25" t="s">
        <v>8</v>
      </c>
      <c r="F82" s="25" t="s">
        <v>9</v>
      </c>
      <c r="G82" s="25" t="s">
        <v>10</v>
      </c>
      <c r="H82" s="25" t="s">
        <v>11</v>
      </c>
      <c r="I82" s="25" t="s">
        <v>12</v>
      </c>
      <c r="J82" s="25" t="s">
        <v>13</v>
      </c>
      <c r="K82" s="25" t="s">
        <v>14</v>
      </c>
      <c r="L82" s="25" t="s">
        <v>15</v>
      </c>
      <c r="M82" s="25" t="s">
        <v>16</v>
      </c>
      <c r="N82" s="25" t="s">
        <v>17</v>
      </c>
      <c r="O82" s="25" t="s">
        <v>103</v>
      </c>
      <c r="P82" s="26" t="s">
        <v>5</v>
      </c>
    </row>
    <row r="83" spans="1:16" ht="15">
      <c r="A83" s="48">
        <f>ROW()</f>
        <v>83</v>
      </c>
      <c r="B83" s="8" t="s">
        <v>1</v>
      </c>
      <c r="C83" s="7">
        <f>+C72*C50/C61</f>
        <v>69.03</v>
      </c>
      <c r="D83" s="7">
        <f>SUMPRODUCT($C72:D72,$C50:D50)/D61</f>
        <v>64.66033270277298</v>
      </c>
      <c r="E83" s="7">
        <f>SUMPRODUCT($C72:E72,$C50:E50)/E61</f>
        <v>63.166854494221475</v>
      </c>
      <c r="F83" s="7">
        <f>SUMPRODUCT($C72:F72,$C50:F50)/F61</f>
        <v>62.283085699866504</v>
      </c>
      <c r="G83" s="7">
        <f>SUMPRODUCT($C72:G72,$C50:G50)/G61</f>
        <v>62.283085699866504</v>
      </c>
      <c r="H83" s="7">
        <f>SUMPRODUCT($C72:H72,$C50:H50)/H61</f>
        <v>62.283085699866504</v>
      </c>
      <c r="I83" s="7">
        <f>SUMPRODUCT($C72:I72,$C50:I50)/I61</f>
        <v>62.283085699866504</v>
      </c>
      <c r="J83" s="7">
        <f>SUMPRODUCT($C72:J72,$C50:J50)/J61</f>
        <v>62.283085699866504</v>
      </c>
      <c r="K83" s="7">
        <f>SUMPRODUCT($C72:K72,$C50:K50)/K61</f>
        <v>62.283085699866504</v>
      </c>
      <c r="L83" s="7">
        <f>SUMPRODUCT($C72:L72,$C50:L50)/L61</f>
        <v>62.283085699866504</v>
      </c>
      <c r="M83" s="7">
        <f>SUMPRODUCT($C72:M72,$C50:M50)/M61</f>
        <v>62.283085699866504</v>
      </c>
      <c r="N83" s="7">
        <f>SUMPRODUCT($C72:N72,$C50:N50)/N61</f>
        <v>62.283085699866504</v>
      </c>
      <c r="O83" s="7">
        <f>SUMPRODUCT($C72:O72,$C50:O50)/O61</f>
        <v>62.283085699866504</v>
      </c>
      <c r="P83" s="7">
        <f>+O83</f>
        <v>62.283085699866504</v>
      </c>
    </row>
    <row r="84" spans="1:16" ht="15">
      <c r="A84" s="48">
        <f>ROW()</f>
        <v>84</v>
      </c>
      <c r="B84" s="8" t="s">
        <v>2</v>
      </c>
      <c r="C84" s="7">
        <f>+C73*C51/C62</f>
        <v>57.43000000000001</v>
      </c>
      <c r="D84" s="7">
        <f>SUMPRODUCT($C73:D73,$C51:D51)/D62</f>
        <v>61.29398160348598</v>
      </c>
      <c r="E84" s="7">
        <f>SUMPRODUCT($C73:E73,$C51:E51)/E62</f>
        <v>62.646430481340936</v>
      </c>
      <c r="F84" s="7">
        <f>SUMPRODUCT($C73:F73,$C51:F51)/F62</f>
        <v>64.8693724295975</v>
      </c>
      <c r="G84" s="7">
        <f>SUMPRODUCT($C73:G73,$C51:G51)/G62</f>
        <v>68.15733095802699</v>
      </c>
      <c r="H84" s="7">
        <f>SUMPRODUCT($C73:H73,$C51:H51)/H62</f>
        <v>69.13629404423483</v>
      </c>
      <c r="I84" s="7">
        <f>SUMPRODUCT($C73:I73,$C51:I51)/I62</f>
        <v>69.5202703346061</v>
      </c>
      <c r="J84" s="7">
        <f>SUMPRODUCT($C73:J73,$C51:J51)/J62</f>
        <v>69.80787826332097</v>
      </c>
      <c r="K84" s="7">
        <f>SUMPRODUCT($C73:K73,$C51:K51)/K62</f>
        <v>70.03616264110846</v>
      </c>
      <c r="L84" s="7">
        <f>SUMPRODUCT($C73:L73,$C51:L51)/L62</f>
        <v>70.16958219672006</v>
      </c>
      <c r="M84" s="7">
        <f>SUMPRODUCT($C73:M73,$C51:M51)/M62</f>
        <v>70.27620351027365</v>
      </c>
      <c r="N84" s="7">
        <f>SUMPRODUCT($C73:N73,$C51:N51)/N62</f>
        <v>70.2918948565264</v>
      </c>
      <c r="O84" s="7">
        <f>SUMPRODUCT($C73:O73,$C51:O51)/O62</f>
        <v>70.2918948565264</v>
      </c>
      <c r="P84" s="7">
        <f aca="true" t="shared" si="13" ref="P84:P90">+O84</f>
        <v>70.2918948565264</v>
      </c>
    </row>
    <row r="85" spans="1:16" ht="15">
      <c r="A85" s="48">
        <f>ROW()</f>
        <v>85</v>
      </c>
      <c r="B85" s="170" t="s">
        <v>146</v>
      </c>
      <c r="C85" s="7">
        <f>IF(C52=0,0,C74*C52/C63)</f>
        <v>0</v>
      </c>
      <c r="D85" s="7">
        <f>SUMPRODUCT($C74:D74,$C52:D52)/D63</f>
        <v>0</v>
      </c>
      <c r="E85" s="7">
        <f>SUMPRODUCT($C74:E74,$C52:E52)/E63</f>
        <v>1654.829985471203</v>
      </c>
      <c r="F85" s="7">
        <f>SUMPRODUCT($C74:F74,$C52:F52)/F63</f>
        <v>1757.000986087139</v>
      </c>
      <c r="G85" s="7">
        <f>SUMPRODUCT($C74:G74,$C52:G52)/G63</f>
        <v>1757.000986087139</v>
      </c>
      <c r="H85" s="7">
        <f>SUMPRODUCT($C74:H74,$C52:H52)/H63</f>
        <v>1757.000986087139</v>
      </c>
      <c r="I85" s="7">
        <f>SUMPRODUCT($C74:I74,$C52:I52)/I63</f>
        <v>1757.000986087139</v>
      </c>
      <c r="J85" s="7">
        <f>SUMPRODUCT($C74:J74,$C52:J52)/J63</f>
        <v>1757.000986087139</v>
      </c>
      <c r="K85" s="7">
        <f>SUMPRODUCT($C74:K74,$C52:K52)/K63</f>
        <v>1757.000986087139</v>
      </c>
      <c r="L85" s="7">
        <f>SUMPRODUCT($C74:L74,$C52:L52)/L63</f>
        <v>1757.000986087139</v>
      </c>
      <c r="M85" s="7">
        <f>SUMPRODUCT($C74:M74,$C52:M52)/M63</f>
        <v>1757.000986087139</v>
      </c>
      <c r="N85" s="7">
        <f>SUMPRODUCT($C74:N74,$C52:N52)/N63</f>
        <v>1757.000986087139</v>
      </c>
      <c r="O85" s="7">
        <f>SUMPRODUCT($C74:O74,$C52:O52)/O63</f>
        <v>1757.000986087139</v>
      </c>
      <c r="P85" s="7">
        <f t="shared" si="13"/>
        <v>1757.000986087139</v>
      </c>
    </row>
    <row r="86" spans="1:16" ht="15">
      <c r="A86" s="48">
        <f>ROW()</f>
        <v>86</v>
      </c>
      <c r="B86" s="170" t="s">
        <v>147</v>
      </c>
      <c r="C86" s="7">
        <f>+C75*C53/C64</f>
        <v>1658.03</v>
      </c>
      <c r="D86" s="7">
        <f>SUMPRODUCT($C75:D75,$C53:D53)/D64</f>
        <v>1619.9736703212748</v>
      </c>
      <c r="E86" s="7">
        <f>SUMPRODUCT($C75:E75,$C53:E53)/E64</f>
        <v>1685.8429632891578</v>
      </c>
      <c r="F86" s="7">
        <f>SUMPRODUCT($C75:F75,$C53:F53)/F64</f>
        <v>1727.2594253584532</v>
      </c>
      <c r="G86" s="7">
        <f>SUMPRODUCT($C75:G75,$C53:G53)/G64</f>
        <v>1741.0025015732651</v>
      </c>
      <c r="H86" s="7">
        <f>SUMPRODUCT($C75:H75,$C53:H53)/H64</f>
        <v>1754.1903592163246</v>
      </c>
      <c r="I86" s="7">
        <f>SUMPRODUCT($C75:I75,$C53:I53)/I64</f>
        <v>1770.220464190472</v>
      </c>
      <c r="J86" s="7">
        <f>SUMPRODUCT($C75:J75,$C53:J53)/J64</f>
        <v>1794.927635788385</v>
      </c>
      <c r="K86" s="7">
        <f>SUMPRODUCT($C75:K75,$C53:K53)/K64</f>
        <v>1814.3933727692379</v>
      </c>
      <c r="L86" s="7">
        <f>SUMPRODUCT($C75:L75,$C53:L53)/L64</f>
        <v>1831.978177705698</v>
      </c>
      <c r="M86" s="7">
        <f>SUMPRODUCT($C75:M75,$C53:M53)/M64</f>
        <v>1852.6821588824407</v>
      </c>
      <c r="N86" s="7">
        <f>SUMPRODUCT($C75:N75,$C53:N53)/N64</f>
        <v>1866.0911668464528</v>
      </c>
      <c r="O86" s="7">
        <f>SUMPRODUCT($C75:O75,$C53:O53)/O64</f>
        <v>1866.0911668464528</v>
      </c>
      <c r="P86" s="7">
        <f t="shared" si="13"/>
        <v>1866.0911668464528</v>
      </c>
    </row>
    <row r="87" spans="1:16" ht="15">
      <c r="A87" s="48">
        <f>ROW()</f>
        <v>87</v>
      </c>
      <c r="B87" s="170" t="s">
        <v>151</v>
      </c>
      <c r="C87" s="7">
        <f>IF(C76=0,0,C76*C54/C65)</f>
        <v>2065.44</v>
      </c>
      <c r="D87" s="7">
        <f>SUMPRODUCT($C76:D76,$C54:D54)/D65</f>
        <v>1958.8422801302934</v>
      </c>
      <c r="E87" s="7">
        <f>SUMPRODUCT($C76:E76,$C54:E54)/E65</f>
        <v>1925.9369756097562</v>
      </c>
      <c r="F87" s="7">
        <f>SUMPRODUCT($C76:F76,$C54:F54)/F65</f>
        <v>1928.6012881355932</v>
      </c>
      <c r="G87" s="7">
        <f>SUMPRODUCT($C76:G76,$C54:G54)/G65</f>
        <v>1928.6012881355932</v>
      </c>
      <c r="H87" s="7">
        <f>SUMPRODUCT($C76:H76,$C54:H54)/H65</f>
        <v>1928.6012881355932</v>
      </c>
      <c r="I87" s="7">
        <f>SUMPRODUCT($C76:I76,$C54:I54)/I65</f>
        <v>1928.6012881355932</v>
      </c>
      <c r="J87" s="7">
        <f>SUMPRODUCT($C76:J76,$C54:J54)/J65</f>
        <v>1928.6012881355932</v>
      </c>
      <c r="K87" s="7">
        <f>SUMPRODUCT($C76:K76,$C54:K54)/K65</f>
        <v>1928.6012881355932</v>
      </c>
      <c r="L87" s="7">
        <f>SUMPRODUCT($C76:L76,$C54:L54)/L65</f>
        <v>1928.6012881355932</v>
      </c>
      <c r="M87" s="7">
        <f>SUMPRODUCT($C76:M76,$C54:M54)/M65</f>
        <v>1928.6012881355932</v>
      </c>
      <c r="N87" s="7">
        <f>SUMPRODUCT($C76:N76,$C54:N54)/N65</f>
        <v>1928.6012881355932</v>
      </c>
      <c r="O87" s="7">
        <f>SUMPRODUCT($C76:O76,$C54:O54)/O65</f>
        <v>1928.6012881355934</v>
      </c>
      <c r="P87" s="7">
        <f>+O87</f>
        <v>1928.6012881355934</v>
      </c>
    </row>
    <row r="88" spans="1:16" ht="15">
      <c r="A88" s="48">
        <f>ROW()</f>
        <v>88</v>
      </c>
      <c r="B88" s="170" t="s">
        <v>148</v>
      </c>
      <c r="C88" s="7">
        <f>IF(C55=0,0,C77*C55/C66)</f>
        <v>0</v>
      </c>
      <c r="D88" s="7">
        <f>SUMPRODUCT($C77:D77,$C55:D55)/D66</f>
        <v>0</v>
      </c>
      <c r="E88" s="7">
        <f>SUMPRODUCT($C77:E77,$C55:E55)/E66</f>
        <v>1554.00998097907</v>
      </c>
      <c r="F88" s="7">
        <f>SUMPRODUCT($C77:F77,$C55:F55)/F66</f>
        <v>1947.65744812756</v>
      </c>
      <c r="G88" s="7">
        <f>SUMPRODUCT($C77:G77,$C55:G55)/G66</f>
        <v>1947.65744812756</v>
      </c>
      <c r="H88" s="7">
        <f>SUMPRODUCT($C77:H77,$C55:H55)/H66</f>
        <v>1947.65744812756</v>
      </c>
      <c r="I88" s="7">
        <f>SUMPRODUCT($C77:I77,$C55:I55)/I66</f>
        <v>1947.65744812756</v>
      </c>
      <c r="J88" s="7">
        <f>SUMPRODUCT($C77:J77,$C55:J55)/J66</f>
        <v>1947.65744812756</v>
      </c>
      <c r="K88" s="7">
        <f>SUMPRODUCT($C77:K77,$C55:K55)/K66</f>
        <v>1947.65744812756</v>
      </c>
      <c r="L88" s="7">
        <f>SUMPRODUCT($C77:L77,$C55:L55)/L66</f>
        <v>1947.65744812756</v>
      </c>
      <c r="M88" s="7">
        <f>SUMPRODUCT($C77:M77,$C55:M55)/M66</f>
        <v>1947.65744812756</v>
      </c>
      <c r="N88" s="7">
        <f>SUMPRODUCT($C77:N77,$C55:N55)/N66</f>
        <v>1947.65744812756</v>
      </c>
      <c r="O88" s="7">
        <f>SUMPRODUCT($C77:O77,$C55:O55)/O66</f>
        <v>1947.65744812756</v>
      </c>
      <c r="P88" s="7">
        <f t="shared" si="13"/>
        <v>1947.65744812756</v>
      </c>
    </row>
    <row r="89" spans="1:16" ht="15">
      <c r="A89" s="48">
        <f>ROW()</f>
        <v>89</v>
      </c>
      <c r="B89" s="170" t="s">
        <v>149</v>
      </c>
      <c r="C89" s="7">
        <f>+C78*C56/C67</f>
        <v>1350.67</v>
      </c>
      <c r="D89" s="7">
        <f>SUMPRODUCT($C78:D78,$C56:D56)/D67</f>
        <v>1365.198285070424</v>
      </c>
      <c r="E89" s="7">
        <f>SUMPRODUCT($C78:E78,$C56:E56)/E67</f>
        <v>1418.9800852381761</v>
      </c>
      <c r="F89" s="7">
        <f>SUMPRODUCT($C78:F78,$C56:F56)/F67</f>
        <v>1486.870761073827</v>
      </c>
      <c r="G89" s="7">
        <f>SUMPRODUCT($C78:G78,$C56:G56)/G67</f>
        <v>1529.672858916284</v>
      </c>
      <c r="H89" s="7">
        <f>SUMPRODUCT($C78:H78,$C56:H56)/H67</f>
        <v>1556.99670928696</v>
      </c>
      <c r="I89" s="7">
        <f>SUMPRODUCT($C78:I78,$C56:I56)/I67</f>
        <v>1581.1683524623695</v>
      </c>
      <c r="J89" s="7">
        <f>SUMPRODUCT($C78:J78,$C56:J56)/J67</f>
        <v>1599.7439267040463</v>
      </c>
      <c r="K89" s="7">
        <f>SUMPRODUCT($C78:K78,$C56:K56)/K67</f>
        <v>1615.7096971105616</v>
      </c>
      <c r="L89" s="7">
        <f>SUMPRODUCT($C78:L78,$C56:L56)/L67</f>
        <v>1629.9014770549015</v>
      </c>
      <c r="M89" s="7">
        <f>SUMPRODUCT($C78:M78,$C56:M56)/M67</f>
        <v>1644.5413128082184</v>
      </c>
      <c r="N89" s="7">
        <f>SUMPRODUCT($C78:N78,$C56:N56)/N67</f>
        <v>1654.2009308135596</v>
      </c>
      <c r="O89" s="7">
        <f>SUMPRODUCT($C78:O78,$C56:O56)/O67</f>
        <v>1654.2009308135596</v>
      </c>
      <c r="P89" s="7">
        <f t="shared" si="13"/>
        <v>1654.2009308135596</v>
      </c>
    </row>
    <row r="90" spans="1:16" ht="15">
      <c r="A90" s="48">
        <f>ROW()</f>
        <v>90</v>
      </c>
      <c r="B90" s="8" t="s">
        <v>152</v>
      </c>
      <c r="C90" s="7">
        <f>+C79*C57/C68</f>
        <v>1631.9</v>
      </c>
      <c r="D90" s="7">
        <f>SUMPRODUCT($C79:D79,$C57:D57)/D68</f>
        <v>1514.802221123358</v>
      </c>
      <c r="E90" s="7">
        <f>SUMPRODUCT($C79:E79,$C57:E57)/E68</f>
        <v>1545.3347729810685</v>
      </c>
      <c r="F90" s="7">
        <f>SUMPRODUCT($C79:F79,$C57:F57)/F68</f>
        <v>1555.7136041207477</v>
      </c>
      <c r="G90" s="7">
        <f>SUMPRODUCT($C79:G79,$C57:G57)/G68</f>
        <v>1555.7136041207477</v>
      </c>
      <c r="H90" s="7">
        <f>SUMPRODUCT($C79:H79,$C57:H57)/H68</f>
        <v>1555.7136041207477</v>
      </c>
      <c r="I90" s="7">
        <f>SUMPRODUCT($C79:I79,$C57:I57)/I68</f>
        <v>1555.7136041207477</v>
      </c>
      <c r="J90" s="7">
        <f>SUMPRODUCT($C79:J79,$C57:J57)/J68</f>
        <v>1555.7136041207477</v>
      </c>
      <c r="K90" s="7">
        <f>SUMPRODUCT($C79:K79,$C57:K57)/K68</f>
        <v>1555.7136041207477</v>
      </c>
      <c r="L90" s="7">
        <f>SUMPRODUCT($C79:L79,$C57:L57)/L68</f>
        <v>1555.7136041207477</v>
      </c>
      <c r="M90" s="7">
        <f>SUMPRODUCT($C79:M79,$C57:M57)/M68</f>
        <v>1555.7136041207477</v>
      </c>
      <c r="N90" s="7">
        <f>SUMPRODUCT($C79:N79,$C57:N57)/N68</f>
        <v>1555.7136041207477</v>
      </c>
      <c r="O90" s="7">
        <f>SUMPRODUCT($C79:O79,$C57:O57)/O68</f>
        <v>1555.7136041207475</v>
      </c>
      <c r="P90" s="7">
        <f t="shared" si="13"/>
        <v>1555.7136041207475</v>
      </c>
    </row>
    <row r="91" ht="12.75">
      <c r="A91" s="48">
        <f>ROW()</f>
        <v>91</v>
      </c>
    </row>
    <row r="92" spans="1:16" ht="15.75" thickBot="1">
      <c r="A92" s="48">
        <f>ROW()</f>
        <v>92</v>
      </c>
      <c r="B92" s="5" t="s">
        <v>123</v>
      </c>
      <c r="C92" s="1"/>
      <c r="D92" s="1"/>
      <c r="E92" s="1"/>
      <c r="F92" s="1"/>
      <c r="G92" s="1"/>
      <c r="H92" s="1"/>
      <c r="I92" s="1"/>
      <c r="J92" s="1"/>
      <c r="K92" s="1"/>
      <c r="L92" s="1"/>
      <c r="M92" s="1"/>
      <c r="N92" s="1"/>
      <c r="O92" s="1"/>
      <c r="P92" s="1"/>
    </row>
    <row r="93" spans="1:16" ht="15">
      <c r="A93" s="48">
        <f>ROW()</f>
        <v>93</v>
      </c>
      <c r="B93" s="17" t="s">
        <v>18</v>
      </c>
      <c r="C93" s="25" t="s">
        <v>138</v>
      </c>
      <c r="D93" s="25" t="s">
        <v>139</v>
      </c>
      <c r="E93" s="25" t="s">
        <v>8</v>
      </c>
      <c r="F93" s="25" t="s">
        <v>9</v>
      </c>
      <c r="G93" s="25" t="s">
        <v>10</v>
      </c>
      <c r="H93" s="25" t="s">
        <v>11</v>
      </c>
      <c r="I93" s="25" t="s">
        <v>12</v>
      </c>
      <c r="J93" s="25" t="s">
        <v>13</v>
      </c>
      <c r="K93" s="25" t="s">
        <v>14</v>
      </c>
      <c r="L93" s="25" t="s">
        <v>15</v>
      </c>
      <c r="M93" s="25" t="s">
        <v>16</v>
      </c>
      <c r="N93" s="25" t="s">
        <v>17</v>
      </c>
      <c r="O93" s="25" t="s">
        <v>103</v>
      </c>
      <c r="P93" s="26" t="s">
        <v>5</v>
      </c>
    </row>
    <row r="94" spans="1:16" ht="15">
      <c r="A94" s="48">
        <f>ROW()</f>
        <v>94</v>
      </c>
      <c r="B94" s="8" t="s">
        <v>1</v>
      </c>
      <c r="C94" s="15">
        <f>C83*'INDICES '!$L$3/'INDICES '!$J$3/1000*20</f>
        <v>0.7827127203430204</v>
      </c>
      <c r="D94" s="15">
        <f>D83*'INDICES '!$L$3/'INDICES '!$J$3/1000*20</f>
        <v>0.7331662307413038</v>
      </c>
      <c r="E94" s="15">
        <f>E83*'INDICES '!$L$3/'INDICES '!$J$3/1000*20</f>
        <v>0.7162320804966513</v>
      </c>
      <c r="F94" s="15">
        <f>F83*'INDICES '!$L$3/'INDICES '!$J$3/1000*20</f>
        <v>0.7062112623424595</v>
      </c>
      <c r="G94" s="15">
        <f>G83*'INDICES '!$L$3/'INDICES '!$J$3/1000*20</f>
        <v>0.7062112623424595</v>
      </c>
      <c r="H94" s="15">
        <f>H83*'INDICES '!$L$3/'INDICES '!$J$3/1000*20</f>
        <v>0.7062112623424595</v>
      </c>
      <c r="I94" s="15">
        <f>I83*'INDICES '!$L$3/'INDICES '!$J$3/1000*20</f>
        <v>0.7062112623424595</v>
      </c>
      <c r="J94" s="15">
        <f>J83*'INDICES '!$L$3/'INDICES '!$J$3/1000*20</f>
        <v>0.7062112623424595</v>
      </c>
      <c r="K94" s="15">
        <f>K83*'INDICES '!$L$3/'INDICES '!$J$3/1000*20</f>
        <v>0.7062112623424595</v>
      </c>
      <c r="L94" s="15">
        <f>L83*'INDICES '!$L$3/'INDICES '!$J$3/1000*20</f>
        <v>0.7062112623424595</v>
      </c>
      <c r="M94" s="15">
        <f>M83*'INDICES '!$L$3/'INDICES '!$J$3/1000*20</f>
        <v>0.7062112623424595</v>
      </c>
      <c r="N94" s="15">
        <f>N83*'INDICES '!$L$3/'INDICES '!$J$3/1000*20</f>
        <v>0.7062112623424595</v>
      </c>
      <c r="O94" s="15">
        <f>O83*'INDICES '!$L$3/'INDICES '!$J$3/1000*20</f>
        <v>0.7062112623424595</v>
      </c>
      <c r="P94" s="36">
        <f>P83*'INDICES '!$L$3/'INDICES '!$J$3/1000*20</f>
        <v>0.7062112623424595</v>
      </c>
    </row>
    <row r="95" spans="1:16" ht="15">
      <c r="A95" s="48">
        <f>ROW()</f>
        <v>95</v>
      </c>
      <c r="B95" s="8" t="s">
        <v>2</v>
      </c>
      <c r="C95" s="15">
        <f>C84*'INDICES '!$L$4/'INDICES '!$J$4/1000*20</f>
        <v>0.6537998660671579</v>
      </c>
      <c r="D95" s="15">
        <f>D84*'INDICES '!$L$4/'INDICES '!$J$4/1000*20</f>
        <v>0.6977885593432345</v>
      </c>
      <c r="E95" s="15">
        <f>E84*'INDICES '!$L$4/'INDICES '!$J$4/1000*20</f>
        <v>0.7131852317305627</v>
      </c>
      <c r="F95" s="15">
        <f>F84*'INDICES '!$L$4/'INDICES '!$J$4/1000*20</f>
        <v>0.7384918510592274</v>
      </c>
      <c r="G95" s="15">
        <f>G84*'INDICES '!$L$4/'INDICES '!$J$4/1000*20</f>
        <v>0.7759229296857564</v>
      </c>
      <c r="H95" s="15">
        <f>H84*'INDICES '!$L$4/'INDICES '!$J$4/1000*20</f>
        <v>0.7870677309159041</v>
      </c>
      <c r="I95" s="15">
        <f>I84*'INDICES '!$L$4/'INDICES '!$J$4/1000*20</f>
        <v>0.7914390289694945</v>
      </c>
      <c r="J95" s="15">
        <f>J84*'INDICES '!$L$4/'INDICES '!$J$4/1000*20</f>
        <v>0.7947132414938484</v>
      </c>
      <c r="K95" s="15">
        <f>K84*'INDICES '!$L$4/'INDICES '!$J$4/1000*20</f>
        <v>0.7973120974162351</v>
      </c>
      <c r="L95" s="15">
        <f>L84*'INDICES '!$L$4/'INDICES '!$J$4/1000*20</f>
        <v>0.79883098454125</v>
      </c>
      <c r="M95" s="15">
        <f>M84*'INDICES '!$L$4/'INDICES '!$J$4/1000*20</f>
        <v>0.8000447926645524</v>
      </c>
      <c r="N95" s="15">
        <f>N84*'INDICES '!$L$4/'INDICES '!$J$4/1000*20</f>
        <v>0.8002234275257479</v>
      </c>
      <c r="O95" s="15">
        <f>O84*'INDICES '!$L$4/'INDICES '!$J$4/1000*20</f>
        <v>0.8002234275257479</v>
      </c>
      <c r="P95" s="36">
        <f>P84*'INDICES '!$L$4/'INDICES '!$J$4/1000*20</f>
        <v>0.8002234275257479</v>
      </c>
    </row>
    <row r="96" spans="1:16" ht="15">
      <c r="A96" s="48">
        <f>ROW()</f>
        <v>96</v>
      </c>
      <c r="B96" s="170" t="s">
        <v>146</v>
      </c>
      <c r="C96" s="15">
        <f>C85*'INDICES '!$L$5/'INDICES '!$J$5/1000</f>
        <v>0</v>
      </c>
      <c r="D96" s="15">
        <f>D85*'INDICES '!$L$5/'INDICES '!$J$5/1000</f>
        <v>0</v>
      </c>
      <c r="E96" s="15">
        <f>E85*'INDICES '!$L$5/'INDICES '!$J$5/1000</f>
        <v>0.582204646183002</v>
      </c>
      <c r="F96" s="15">
        <f>F85*'INDICES '!$L$5/'INDICES '!$J$5/1000</f>
        <v>0.6181505933715445</v>
      </c>
      <c r="G96" s="15">
        <f>G85*'INDICES '!$L$5/'INDICES '!$J$5/1000</f>
        <v>0.6181505933715445</v>
      </c>
      <c r="H96" s="15">
        <f>H85*'INDICES '!$L$5/'INDICES '!$J$5/1000</f>
        <v>0.6181505933715445</v>
      </c>
      <c r="I96" s="15">
        <f>I85*'INDICES '!$L$5/'INDICES '!$J$5/1000</f>
        <v>0.6181505933715445</v>
      </c>
      <c r="J96" s="15">
        <f>J85*'INDICES '!$L$5/'INDICES '!$J$5/1000</f>
        <v>0.6181505933715445</v>
      </c>
      <c r="K96" s="15">
        <f>K85*'INDICES '!$L$5/'INDICES '!$J$5/1000</f>
        <v>0.6181505933715445</v>
      </c>
      <c r="L96" s="15">
        <f>L85*'INDICES '!$L$5/'INDICES '!$J$5/1000</f>
        <v>0.6181505933715445</v>
      </c>
      <c r="M96" s="15">
        <f>M85*'INDICES '!$L$5/'INDICES '!$J$5/1000</f>
        <v>0.6181505933715445</v>
      </c>
      <c r="N96" s="15">
        <f>N85*'INDICES '!$L$5/'INDICES '!$J$5/1000</f>
        <v>0.6181505933715445</v>
      </c>
      <c r="O96" s="15">
        <f>O85*'INDICES '!$L$5/'INDICES '!$J$5/1000</f>
        <v>0.6181505933715445</v>
      </c>
      <c r="P96" s="36">
        <f>P85*'INDICES '!$L$5/'INDICES '!$J$5/1000</f>
        <v>0.6181505933715445</v>
      </c>
    </row>
    <row r="97" spans="1:16" ht="15">
      <c r="A97" s="48">
        <f>ROW()</f>
        <v>97</v>
      </c>
      <c r="B97" s="170" t="s">
        <v>147</v>
      </c>
      <c r="C97" s="15">
        <f>C86*'INDICES '!$L$5/'INDICES '!$J$5/1000</f>
        <v>0.583330479859498</v>
      </c>
      <c r="D97" s="15">
        <f>D86*'INDICES '!$L$5/'INDICES '!$J$5/1000</f>
        <v>0.5699414476627453</v>
      </c>
      <c r="E97" s="15">
        <f>E86*'INDICES '!$L$5/'INDICES '!$J$5/1000</f>
        <v>0.5931156762804187</v>
      </c>
      <c r="F97" s="15">
        <f>F86*'INDICES '!$L$5/'INDICES '!$J$5/1000</f>
        <v>0.6076868750482123</v>
      </c>
      <c r="G97" s="15">
        <f>G86*'INDICES '!$L$5/'INDICES '!$J$5/1000</f>
        <v>0.6125219837272663</v>
      </c>
      <c r="H97" s="15">
        <f>H86*'INDICES '!$L$5/'INDICES '!$J$5/1000</f>
        <v>0.6171617546163605</v>
      </c>
      <c r="I97" s="15">
        <f>I86*'INDICES '!$L$5/'INDICES '!$J$5/1000</f>
        <v>0.6228014890160801</v>
      </c>
      <c r="J97" s="15">
        <f>J86*'INDICES '!$L$5/'INDICES '!$J$5/1000</f>
        <v>0.6314940013736259</v>
      </c>
      <c r="K97" s="15">
        <f>K86*'INDICES '!$L$5/'INDICES '!$J$5/1000</f>
        <v>0.6383424647270393</v>
      </c>
      <c r="L97" s="15">
        <f>L86*'INDICES '!$L$5/'INDICES '!$J$5/1000</f>
        <v>0.6445291758853541</v>
      </c>
      <c r="M97" s="15">
        <f>M86*'INDICES '!$L$5/'INDICES '!$J$5/1000</f>
        <v>0.6518132800781802</v>
      </c>
      <c r="N97" s="15">
        <f>N86*'INDICES '!$L$5/'INDICES '!$J$5/1000</f>
        <v>0.6565308563886734</v>
      </c>
      <c r="O97" s="15">
        <f>O86*'INDICES '!$L$5/'INDICES '!$J$5/1000</f>
        <v>0.6565308563886734</v>
      </c>
      <c r="P97" s="36">
        <f>P86*'INDICES '!$L$5/'INDICES '!$J$5/1000</f>
        <v>0.6565308563886734</v>
      </c>
    </row>
    <row r="98" spans="1:16" ht="15">
      <c r="A98" s="48">
        <f>ROW()</f>
        <v>98</v>
      </c>
      <c r="B98" s="170" t="s">
        <v>151</v>
      </c>
      <c r="C98" s="15">
        <f>C87*'INDICES '!$L$7/'INDICES '!$J$7/1000</f>
        <v>0.7266660472494476</v>
      </c>
      <c r="D98" s="15">
        <f>D87*'INDICES '!$L$7/'INDICES '!$J$7/1000</f>
        <v>0.6891626853781158</v>
      </c>
      <c r="E98" s="15">
        <f>E87*'INDICES '!$L$7/'INDICES '!$J$7/1000</f>
        <v>0.6775858942007018</v>
      </c>
      <c r="F98" s="15">
        <f>F87*'INDICES '!$L$7/'INDICES '!$J$7/1000</f>
        <v>0.6785232564343118</v>
      </c>
      <c r="G98" s="15">
        <f>G87*'INDICES '!$L$7/'INDICES '!$J$7/1000</f>
        <v>0.6785232564343118</v>
      </c>
      <c r="H98" s="15">
        <f>H87*'INDICES '!$L$7/'INDICES '!$J$7/1000</f>
        <v>0.6785232564343118</v>
      </c>
      <c r="I98" s="15">
        <f>I87*'INDICES '!$L$7/'INDICES '!$J$7/1000</f>
        <v>0.6785232564343118</v>
      </c>
      <c r="J98" s="15">
        <f>J87*'INDICES '!$L$7/'INDICES '!$J$7/1000</f>
        <v>0.6785232564343118</v>
      </c>
      <c r="K98" s="15">
        <f>K87*'INDICES '!$L$7/'INDICES '!$J$7/1000</f>
        <v>0.6785232564343118</v>
      </c>
      <c r="L98" s="15">
        <f>L87*'INDICES '!$L$7/'INDICES '!$J$7/1000</f>
        <v>0.6785232564343118</v>
      </c>
      <c r="M98" s="15">
        <f>M87*'INDICES '!$L$7/'INDICES '!$J$7/1000</f>
        <v>0.6785232564343118</v>
      </c>
      <c r="N98" s="15">
        <f>N87*'INDICES '!$L$7/'INDICES '!$J$7/1000</f>
        <v>0.6785232564343118</v>
      </c>
      <c r="O98" s="15">
        <f>O87*'INDICES '!$L$7/'INDICES '!$J$7/1000</f>
        <v>0.6785232564343118</v>
      </c>
      <c r="P98" s="36">
        <f>P87*'INDICES '!$L$7/'INDICES '!$J$7/1000</f>
        <v>0.6785232564343118</v>
      </c>
    </row>
    <row r="99" spans="1:16" ht="15">
      <c r="A99" s="48">
        <f>ROW()</f>
        <v>99</v>
      </c>
      <c r="B99" s="170" t="s">
        <v>148</v>
      </c>
      <c r="C99" s="15">
        <f>C88*'INDICES '!$L$6/'INDICES '!$J$6/1000</f>
        <v>0</v>
      </c>
      <c r="D99" s="15">
        <f>D88*'INDICES '!$L$6/'INDICES '!$J$6/1000</f>
        <v>0</v>
      </c>
      <c r="E99" s="15">
        <f>E88*'INDICES '!$L$6/'INDICES '!$J$6/1000</f>
        <v>0.5705907870797625</v>
      </c>
      <c r="F99" s="15">
        <f>F88*'INDICES '!$L$6/'INDICES '!$J$6/1000</f>
        <v>0.7151275795466298</v>
      </c>
      <c r="G99" s="15">
        <f>G88*'INDICES '!$L$6/'INDICES '!$J$6/1000</f>
        <v>0.7151275795466298</v>
      </c>
      <c r="H99" s="15">
        <f>H88*'INDICES '!$L$6/'INDICES '!$J$6/1000</f>
        <v>0.7151275795466298</v>
      </c>
      <c r="I99" s="15">
        <f>I88*'INDICES '!$L$6/'INDICES '!$J$6/1000</f>
        <v>0.7151275795466298</v>
      </c>
      <c r="J99" s="15">
        <f>J88*'INDICES '!$L$6/'INDICES '!$J$6/1000</f>
        <v>0.7151275795466298</v>
      </c>
      <c r="K99" s="15">
        <f>K88*'INDICES '!$L$6/'INDICES '!$J$6/1000</f>
        <v>0.7151275795466298</v>
      </c>
      <c r="L99" s="15">
        <f>L88*'INDICES '!$L$6/'INDICES '!$J$6/1000</f>
        <v>0.7151275795466298</v>
      </c>
      <c r="M99" s="15">
        <f>M88*'INDICES '!$L$6/'INDICES '!$J$6/1000</f>
        <v>0.7151275795466298</v>
      </c>
      <c r="N99" s="15">
        <f>N88*'INDICES '!$L$6/'INDICES '!$J$6/1000</f>
        <v>0.7151275795466298</v>
      </c>
      <c r="O99" s="15">
        <f>O88*'INDICES '!$L$6/'INDICES '!$J$6/1000</f>
        <v>0.7151275795466298</v>
      </c>
      <c r="P99" s="36">
        <f>P88*'INDICES '!$L$6/'INDICES '!$J$6/1000</f>
        <v>0.7151275795466298</v>
      </c>
    </row>
    <row r="100" spans="1:16" ht="15">
      <c r="A100" s="48">
        <f>ROW()</f>
        <v>100</v>
      </c>
      <c r="B100" s="170" t="s">
        <v>149</v>
      </c>
      <c r="C100" s="15">
        <f>C89*'INDICES '!$L$6/'INDICES '!$J$6/1000</f>
        <v>0.49592979956246674</v>
      </c>
      <c r="D100" s="15">
        <f>D89*'INDICES '!$L$6/'INDICES '!$J$6/1000</f>
        <v>0.5012641961974417</v>
      </c>
      <c r="E100" s="15">
        <f>E89*'INDICES '!$L$6/'INDICES '!$J$6/1000</f>
        <v>0.521011430812338</v>
      </c>
      <c r="F100" s="15">
        <f>F89*'INDICES '!$L$6/'INDICES '!$J$6/1000</f>
        <v>0.5459390661779971</v>
      </c>
      <c r="G100" s="15">
        <f>G89*'INDICES '!$L$6/'INDICES '!$J$6/1000</f>
        <v>0.5616548485703378</v>
      </c>
      <c r="H100" s="15">
        <f>H89*'INDICES '!$L$6/'INDICES '!$J$6/1000</f>
        <v>0.5716874336115426</v>
      </c>
      <c r="I100" s="15">
        <f>I89*'INDICES '!$L$6/'INDICES '!$J$6/1000</f>
        <v>0.5805626127116014</v>
      </c>
      <c r="J100" s="15">
        <f>J89*'INDICES '!$L$6/'INDICES '!$J$6/1000</f>
        <v>0.5873830653835587</v>
      </c>
      <c r="K100" s="15">
        <f>K89*'INDICES '!$L$6/'INDICES '!$J$6/1000</f>
        <v>0.5932452680811557</v>
      </c>
      <c r="L100" s="15">
        <f>L89*'INDICES '!$L$6/'INDICES '!$J$6/1000</f>
        <v>0.5984561090587678</v>
      </c>
      <c r="M100" s="15">
        <f>M89*'INDICES '!$L$6/'INDICES '!$J$6/1000</f>
        <v>0.6038314641127557</v>
      </c>
      <c r="N100" s="15">
        <f>N89*'INDICES '!$L$6/'INDICES '!$J$6/1000</f>
        <v>0.6073782167771657</v>
      </c>
      <c r="O100" s="15">
        <f>O89*'INDICES '!$L$6/'INDICES '!$J$6/1000</f>
        <v>0.6073782167771657</v>
      </c>
      <c r="P100" s="36">
        <f>P89*'INDICES '!$L$6/'INDICES '!$J$6/1000</f>
        <v>0.6073782167771657</v>
      </c>
    </row>
    <row r="101" spans="1:16" ht="15">
      <c r="A101" s="48">
        <f>ROW()</f>
        <v>101</v>
      </c>
      <c r="B101" s="8" t="s">
        <v>152</v>
      </c>
      <c r="C101" s="15">
        <f>C90*'INDICES '!$L$8/'INDICES '!$J$8/1000</f>
        <v>0.5991899130846096</v>
      </c>
      <c r="D101" s="15">
        <f>D90*'INDICES '!$L$8/'INDICES '!$J$8/1000</f>
        <v>0.5561947491974253</v>
      </c>
      <c r="E101" s="15">
        <f>E90*'INDICES '!$L$8/'INDICES '!$J$8/1000</f>
        <v>0.5674054833685588</v>
      </c>
      <c r="F101" s="15">
        <f>F90*'INDICES '!$L$8/'INDICES '!$J$8/1000</f>
        <v>0.5712163118068848</v>
      </c>
      <c r="G101" s="15">
        <f>G90*'INDICES '!$L$8/'INDICES '!$J$8/1000</f>
        <v>0.5712163118068848</v>
      </c>
      <c r="H101" s="15">
        <f>H90*'INDICES '!$L$8/'INDICES '!$J$8/1000</f>
        <v>0.5712163118068848</v>
      </c>
      <c r="I101" s="15">
        <f>I90*'INDICES '!$L$8/'INDICES '!$J$8/1000</f>
        <v>0.5712163118068848</v>
      </c>
      <c r="J101" s="15">
        <f>J90*'INDICES '!$L$8/'INDICES '!$J$8/1000</f>
        <v>0.5712163118068848</v>
      </c>
      <c r="K101" s="15">
        <f>K90*'INDICES '!$L$8/'INDICES '!$J$8/1000</f>
        <v>0.5712163118068848</v>
      </c>
      <c r="L101" s="15">
        <f>L90*'INDICES '!$L$8/'INDICES '!$J$8/1000</f>
        <v>0.5712163118068848</v>
      </c>
      <c r="M101" s="15">
        <f>M90*'INDICES '!$L$8/'INDICES '!$J$8/1000</f>
        <v>0.5712163118068848</v>
      </c>
      <c r="N101" s="15">
        <f>N90*'INDICES '!$L$8/'INDICES '!$J$8/1000</f>
        <v>0.5712163118068848</v>
      </c>
      <c r="O101" s="15">
        <f>O90*'INDICES '!$L$8/'INDICES '!$J$8/1000</f>
        <v>0.5712163118068847</v>
      </c>
      <c r="P101" s="36">
        <f>P90*'INDICES '!$L$8/'INDICES '!$J$8/1000</f>
        <v>0.5712163118068847</v>
      </c>
    </row>
    <row r="102" spans="1:16" ht="6" customHeight="1">
      <c r="A102" s="48">
        <f>ROW()</f>
        <v>102</v>
      </c>
      <c r="B102" s="186"/>
      <c r="C102" s="47"/>
      <c r="D102" s="1"/>
      <c r="E102" s="1"/>
      <c r="F102" s="1"/>
      <c r="G102" s="1"/>
      <c r="H102" s="1"/>
      <c r="I102" s="1"/>
      <c r="J102" s="1"/>
      <c r="K102" s="1"/>
      <c r="L102" s="1"/>
      <c r="M102" s="1"/>
      <c r="N102" s="1"/>
      <c r="O102" s="1"/>
      <c r="P102" s="102"/>
    </row>
    <row r="103" spans="1:16" ht="15.75" thickBot="1">
      <c r="A103" s="48">
        <f>ROW()</f>
        <v>103</v>
      </c>
      <c r="B103" s="13" t="s">
        <v>5</v>
      </c>
      <c r="C103" s="104">
        <f>SUMPRODUCT(MIX!C39:C46,MIX!C94:C101)</f>
        <v>0.5565169112740198</v>
      </c>
      <c r="D103" s="104">
        <f>SUMPRODUCT(MIX!D39:D46,MIX!D94:D101)</f>
        <v>0.5841351623649459</v>
      </c>
      <c r="E103" s="104">
        <f>SUMPRODUCT(MIX!E39:E46,MIX!E94:E101)</f>
        <v>0.5998570640921629</v>
      </c>
      <c r="F103" s="104">
        <f>SUMPRODUCT(MIX!F39:F46,MIX!F94:F101)</f>
        <v>0.626254891173675</v>
      </c>
      <c r="G103" s="104">
        <f>SUMPRODUCT(MIX!G39:G46,MIX!G94:G101)</f>
        <v>0.6548700923402757</v>
      </c>
      <c r="H103" s="104">
        <f>SUMPRODUCT(MIX!H39:H46,MIX!H94:H101)</f>
        <v>0.6680741486458074</v>
      </c>
      <c r="I103" s="104">
        <f>SUMPRODUCT(MIX!I39:I46,MIX!I94:I101)</f>
        <v>0.6757424534968769</v>
      </c>
      <c r="J103" s="104">
        <f>SUMPRODUCT(MIX!J39:J46,MIX!J94:J101)</f>
        <v>0.6836011606775193</v>
      </c>
      <c r="K103" s="104">
        <f>SUMPRODUCT(MIX!K39:K46,MIX!K94:K101)</f>
        <v>0.6901494057300851</v>
      </c>
      <c r="L103" s="104">
        <f>SUMPRODUCT(MIX!L39:L46,MIX!L94:L101)</f>
        <v>0.6938201549912165</v>
      </c>
      <c r="M103" s="104">
        <f>SUMPRODUCT(MIX!M39:M46,MIX!M94:M101)</f>
        <v>0.6971023663306837</v>
      </c>
      <c r="N103" s="104">
        <f>SUMPRODUCT(MIX!N39:N46,MIX!N94:N101)</f>
        <v>0.6974522222798675</v>
      </c>
      <c r="O103" s="104">
        <f>SUMPRODUCT(MIX!O39:O46,MIX!O94:O101)</f>
        <v>0.6974522222798675</v>
      </c>
      <c r="P103" s="104">
        <f>SUMPRODUCT(MIX!P39:P46,MIX!P94:P101)</f>
        <v>0.6974522222798675</v>
      </c>
    </row>
  </sheetData>
  <sheetProtection/>
  <printOptions/>
  <pageMargins left="0.787401575" right="0.787401575" top="0.984251969" bottom="0.984251969" header="0.492125985" footer="0.492125985"/>
  <pageSetup orientation="portrait" paperSize="9"/>
</worksheet>
</file>

<file path=xl/worksheets/sheet7.xml><?xml version="1.0" encoding="utf-8"?>
<worksheet xmlns="http://schemas.openxmlformats.org/spreadsheetml/2006/main" xmlns:r="http://schemas.openxmlformats.org/officeDocument/2006/relationships">
  <dimension ref="A1:P58"/>
  <sheetViews>
    <sheetView zoomScale="80" zoomScaleNormal="80" zoomScalePageLayoutView="0" workbookViewId="0" topLeftCell="A34">
      <pane xSplit="2" topLeftCell="C1" activePane="topRight" state="frozen"/>
      <selection pane="topLeft" activeCell="A3" sqref="A3"/>
      <selection pane="topRight" activeCell="E59" sqref="E59"/>
    </sheetView>
  </sheetViews>
  <sheetFormatPr defaultColWidth="9.140625" defaultRowHeight="12.75"/>
  <cols>
    <col min="1" max="1" width="5.00390625" style="47" customWidth="1"/>
    <col min="2" max="16" width="13.8515625" style="0" customWidth="1"/>
  </cols>
  <sheetData>
    <row r="1" spans="3:15" s="47" customFormat="1" ht="12.75">
      <c r="C1" s="49">
        <v>4</v>
      </c>
      <c r="D1" s="49">
        <f aca="true" t="shared" si="0" ref="D1:O1">C1+1</f>
        <v>5</v>
      </c>
      <c r="E1" s="49">
        <f t="shared" si="0"/>
        <v>6</v>
      </c>
      <c r="F1" s="49">
        <f t="shared" si="0"/>
        <v>7</v>
      </c>
      <c r="G1" s="49">
        <f t="shared" si="0"/>
        <v>8</v>
      </c>
      <c r="H1" s="49">
        <f t="shared" si="0"/>
        <v>9</v>
      </c>
      <c r="I1" s="49">
        <f t="shared" si="0"/>
        <v>10</v>
      </c>
      <c r="J1" s="49">
        <f t="shared" si="0"/>
        <v>11</v>
      </c>
      <c r="K1" s="49">
        <f t="shared" si="0"/>
        <v>12</v>
      </c>
      <c r="L1" s="49">
        <f t="shared" si="0"/>
        <v>13</v>
      </c>
      <c r="M1" s="49">
        <f>L1+1</f>
        <v>14</v>
      </c>
      <c r="N1" s="49">
        <f>M1+1</f>
        <v>15</v>
      </c>
      <c r="O1" s="49">
        <f t="shared" si="0"/>
        <v>16</v>
      </c>
    </row>
    <row r="2" spans="1:2" s="1" customFormat="1" ht="15.75" thickBot="1">
      <c r="A2" s="47"/>
      <c r="B2" s="5" t="s">
        <v>34</v>
      </c>
    </row>
    <row r="3" spans="1:16" s="16" customFormat="1" ht="15">
      <c r="A3" s="48">
        <f>ROW()</f>
        <v>3</v>
      </c>
      <c r="B3" s="45" t="s">
        <v>18</v>
      </c>
      <c r="C3" s="25" t="s">
        <v>138</v>
      </c>
      <c r="D3" s="25" t="s">
        <v>139</v>
      </c>
      <c r="E3" s="25" t="s">
        <v>8</v>
      </c>
      <c r="F3" s="25" t="s">
        <v>9</v>
      </c>
      <c r="G3" s="25" t="s">
        <v>10</v>
      </c>
      <c r="H3" s="25" t="s">
        <v>11</v>
      </c>
      <c r="I3" s="25" t="s">
        <v>12</v>
      </c>
      <c r="J3" s="25" t="s">
        <v>13</v>
      </c>
      <c r="K3" s="25" t="s">
        <v>14</v>
      </c>
      <c r="L3" s="25" t="s">
        <v>15</v>
      </c>
      <c r="M3" s="25" t="s">
        <v>16</v>
      </c>
      <c r="N3" s="25" t="s">
        <v>17</v>
      </c>
      <c r="O3" s="25" t="s">
        <v>103</v>
      </c>
      <c r="P3" s="26" t="s">
        <v>5</v>
      </c>
    </row>
    <row r="4" spans="1:16" s="1" customFormat="1" ht="15">
      <c r="A4" s="48">
        <f>ROW()</f>
        <v>4</v>
      </c>
      <c r="B4" s="8" t="s">
        <v>1</v>
      </c>
      <c r="C4" s="27">
        <f>+VOLUMES!C16</f>
        <v>6878.8428</v>
      </c>
      <c r="D4" s="27">
        <f>+VOLUMES!D16</f>
        <v>2486.1395600000005</v>
      </c>
      <c r="E4" s="27">
        <f>+VOLUMES!E16</f>
        <v>6169.958025000001</v>
      </c>
      <c r="F4" s="27">
        <f>+VOLUMES!F16</f>
        <v>8255.314525</v>
      </c>
      <c r="G4" s="27">
        <f>+VOLUMES!G16</f>
        <v>0</v>
      </c>
      <c r="H4" s="27">
        <f>+VOLUMES!H16</f>
        <v>0</v>
      </c>
      <c r="I4" s="27">
        <f>+VOLUMES!I16</f>
        <v>0</v>
      </c>
      <c r="J4" s="27">
        <f>+VOLUMES!J16</f>
        <v>0</v>
      </c>
      <c r="K4" s="27">
        <f>+VOLUMES!K16</f>
        <v>0</v>
      </c>
      <c r="L4" s="27">
        <f>+VOLUMES!L16</f>
        <v>0</v>
      </c>
      <c r="M4" s="27">
        <f>+VOLUMES!M16</f>
        <v>0</v>
      </c>
      <c r="N4" s="27">
        <f>+VOLUMES!N16</f>
        <v>0</v>
      </c>
      <c r="O4" s="27">
        <f>+VOLUMES!O16</f>
        <v>0</v>
      </c>
      <c r="P4" s="28">
        <f>SUM(C4:O4)/12</f>
        <v>1982.5212425000002</v>
      </c>
    </row>
    <row r="5" spans="1:16" s="1" customFormat="1" ht="15">
      <c r="A5" s="48">
        <f>ROW()</f>
        <v>5</v>
      </c>
      <c r="B5" s="8" t="s">
        <v>2</v>
      </c>
      <c r="C5" s="27">
        <f>+VOLUMES!C15</f>
        <v>26320.738669299997</v>
      </c>
      <c r="D5" s="27">
        <f>+VOLUMES!D15</f>
        <v>114786.38638709999</v>
      </c>
      <c r="E5" s="27">
        <f>+VOLUMES!E15</f>
        <v>31421.419044199996</v>
      </c>
      <c r="F5" s="27">
        <f>+VOLUMES!F15</f>
        <v>100381.6600508</v>
      </c>
      <c r="G5" s="27">
        <f>+VOLUMES!G15</f>
        <v>251280.46050422743</v>
      </c>
      <c r="H5" s="27">
        <f>+VOLUMES!H15</f>
        <v>224948.15730407514</v>
      </c>
      <c r="I5" s="27">
        <f>+VOLUMES!I15</f>
        <v>181310.8977124107</v>
      </c>
      <c r="J5" s="27">
        <f>+VOLUMES!J15</f>
        <v>178372.3709896143</v>
      </c>
      <c r="K5" s="27">
        <f>+VOLUMES!K15</f>
        <v>171805.74763819415</v>
      </c>
      <c r="L5" s="27">
        <f>+VOLUMES!L15</f>
        <v>110857.26692437712</v>
      </c>
      <c r="M5" s="27">
        <f>+VOLUMES!M15</f>
        <v>90685.59056456364</v>
      </c>
      <c r="N5" s="27">
        <f>+VOLUMES!N15</f>
        <v>12767.001657137354</v>
      </c>
      <c r="O5" s="27">
        <f>+VOLUMES!O15</f>
        <v>0</v>
      </c>
      <c r="P5" s="28">
        <f>SUM(C5:O5)/12</f>
        <v>124578.14145383332</v>
      </c>
    </row>
    <row r="6" spans="1:16" s="1" customFormat="1" ht="15">
      <c r="A6" s="199">
        <f>ROW()</f>
        <v>6</v>
      </c>
      <c r="B6" s="170" t="s">
        <v>168</v>
      </c>
      <c r="C6" s="27">
        <f>+VOLUMES!C18+VOLUMES!C17+VOLUMES!C19</f>
        <v>62799.47268985099</v>
      </c>
      <c r="D6" s="27">
        <f>+VOLUMES!D18+VOLUMES!D17+VOLUMES!D19</f>
        <v>38174.2607401</v>
      </c>
      <c r="E6" s="27">
        <f>+VOLUMES!E18+VOLUMES!E17+VOLUMES!E19</f>
        <v>57827.1012474</v>
      </c>
      <c r="F6" s="27">
        <f>+VOLUMES!F18+VOLUMES!F17+VOLUMES!F19</f>
        <v>75797.7043742</v>
      </c>
      <c r="G6" s="27">
        <f>+VOLUMES!G18+VOLUMES!G17+VOLUMES!G19</f>
        <v>62815.68077112864</v>
      </c>
      <c r="H6" s="27">
        <f>+VOLUMES!H18+VOLUMES!H17+VOLUMES!H19</f>
        <v>61739.668525653</v>
      </c>
      <c r="I6" s="27">
        <f>+VOLUMES!I18+VOLUMES!I17+VOLUMES!I19</f>
        <v>60835.54572440102</v>
      </c>
      <c r="J6" s="27">
        <f>+VOLUMES!J18+VOLUMES!J17+VOLUMES!J19</f>
        <v>62943.77046263402</v>
      </c>
      <c r="K6" s="27">
        <f>+VOLUMES!K18+VOLUMES!K17+VOLUMES!K19</f>
        <v>57693.11823596603</v>
      </c>
      <c r="L6" s="27">
        <f>+VOLUMES!L18+VOLUMES!L17+VOLUMES!L19</f>
        <v>54607.53690906755</v>
      </c>
      <c r="M6" s="27">
        <f>+VOLUMES!M18+VOLUMES!M17+VOLUMES!M19</f>
        <v>61167.62999883999</v>
      </c>
      <c r="N6" s="27">
        <f>+VOLUMES!N18+VOLUMES!N17+VOLUMES!N19</f>
        <v>46932.612020758694</v>
      </c>
      <c r="O6" s="27">
        <f>+VOLUMES!O18+VOLUMES!O17+VOLUMES!O19</f>
        <v>0.005295299999999999</v>
      </c>
      <c r="P6" s="28">
        <f>SUM(C6:O6)/12</f>
        <v>58611.17558294167</v>
      </c>
    </row>
    <row r="7" spans="1:16" s="1" customFormat="1" ht="15">
      <c r="A7" s="199">
        <f>ROW()</f>
        <v>7</v>
      </c>
      <c r="B7" s="170" t="s">
        <v>169</v>
      </c>
      <c r="C7" s="27">
        <f>+VOLUMES!C21+VOLUMES!C20+VOLUMES!C22</f>
        <v>117654.03126361297</v>
      </c>
      <c r="D7" s="27">
        <f>+VOLUMES!D21+VOLUMES!D20+VOLUMES!D22</f>
        <v>96940.6615424</v>
      </c>
      <c r="E7" s="27">
        <f>+VOLUMES!E21+VOLUMES!E20+VOLUMES!E22</f>
        <v>68860.9598443</v>
      </c>
      <c r="F7" s="27">
        <f>+VOLUMES!F21+VOLUMES!F20+VOLUMES!F22</f>
        <v>145694.383159</v>
      </c>
      <c r="G7" s="27">
        <f>+VOLUMES!G21+VOLUMES!G20+VOLUMES!G22</f>
        <v>183988.16386611338</v>
      </c>
      <c r="H7" s="27">
        <f>+VOLUMES!H21+VOLUMES!H20+VOLUMES!H22</f>
        <v>175825.97954549795</v>
      </c>
      <c r="I7" s="27">
        <f>+VOLUMES!I21+VOLUMES!I20+VOLUMES!I22</f>
        <v>153537.99845265975</v>
      </c>
      <c r="J7" s="27">
        <f>+VOLUMES!J21+VOLUMES!J20+VOLUMES!J22</f>
        <v>112983.37416215464</v>
      </c>
      <c r="K7" s="27">
        <f>+VOLUMES!K21+VOLUMES!K20+VOLUMES!K22</f>
        <v>101221.58598730546</v>
      </c>
      <c r="L7" s="27">
        <f>+VOLUMES!L21+VOLUMES!L20+VOLUMES!L22</f>
        <v>92312.89773401181</v>
      </c>
      <c r="M7" s="27">
        <f>+VOLUMES!M21+VOLUMES!M20+VOLUMES!M22</f>
        <v>87256.52168233506</v>
      </c>
      <c r="N7" s="27">
        <f>+VOLUMES!N21+VOLUMES!N20+VOLUMES!N22</f>
        <v>66179.84616060891</v>
      </c>
      <c r="O7" s="27">
        <f>+VOLUMES!O21+VOLUMES!O20+VOLUMES!O22</f>
        <v>0.0050739</v>
      </c>
      <c r="P7" s="28">
        <f>SUM(C7:O7)/12</f>
        <v>116871.367372825</v>
      </c>
    </row>
    <row r="8" spans="1:16" s="1" customFormat="1" ht="15">
      <c r="A8" s="48">
        <f>ROW()</f>
        <v>8</v>
      </c>
      <c r="B8" s="8" t="s">
        <v>33</v>
      </c>
      <c r="C8" s="27">
        <f aca="true" t="shared" si="1" ref="C8:O8">SUM(C4:C7)</f>
        <v>213653.08542276395</v>
      </c>
      <c r="D8" s="27">
        <f t="shared" si="1"/>
        <v>252387.44822959998</v>
      </c>
      <c r="E8" s="27">
        <f t="shared" si="1"/>
        <v>164279.4381609</v>
      </c>
      <c r="F8" s="27">
        <f t="shared" si="1"/>
        <v>330129.06210899993</v>
      </c>
      <c r="G8" s="27">
        <f t="shared" si="1"/>
        <v>498084.30514146946</v>
      </c>
      <c r="H8" s="27">
        <f t="shared" si="1"/>
        <v>462513.8053752261</v>
      </c>
      <c r="I8" s="27">
        <f t="shared" si="1"/>
        <v>395684.4418894715</v>
      </c>
      <c r="J8" s="27">
        <f t="shared" si="1"/>
        <v>354299.51561440295</v>
      </c>
      <c r="K8" s="27">
        <f t="shared" si="1"/>
        <v>330720.45186146564</v>
      </c>
      <c r="L8" s="27">
        <f t="shared" si="1"/>
        <v>257777.70156745648</v>
      </c>
      <c r="M8" s="27">
        <f t="shared" si="1"/>
        <v>239109.7422457387</v>
      </c>
      <c r="N8" s="27">
        <f t="shared" si="1"/>
        <v>125879.45983850496</v>
      </c>
      <c r="O8" s="27">
        <f t="shared" si="1"/>
        <v>0.010369199999999999</v>
      </c>
      <c r="P8" s="28">
        <f>SUM(C8:O8)/12</f>
        <v>302043.2056521</v>
      </c>
    </row>
    <row r="9" s="1" customFormat="1" ht="15">
      <c r="A9" s="48">
        <f>ROW()</f>
        <v>9</v>
      </c>
    </row>
    <row r="10" spans="1:2" s="1" customFormat="1" ht="15.75" thickBot="1">
      <c r="A10" s="48">
        <f>ROW()</f>
        <v>10</v>
      </c>
      <c r="B10" s="5" t="s">
        <v>35</v>
      </c>
    </row>
    <row r="11" spans="1:16" s="16" customFormat="1" ht="15">
      <c r="A11" s="48">
        <f>ROW()</f>
        <v>11</v>
      </c>
      <c r="B11" s="17" t="s">
        <v>18</v>
      </c>
      <c r="C11" s="25" t="s">
        <v>138</v>
      </c>
      <c r="D11" s="25" t="s">
        <v>139</v>
      </c>
      <c r="E11" s="25" t="s">
        <v>8</v>
      </c>
      <c r="F11" s="25" t="s">
        <v>9</v>
      </c>
      <c r="G11" s="25" t="s">
        <v>10</v>
      </c>
      <c r="H11" s="25" t="s">
        <v>11</v>
      </c>
      <c r="I11" s="25" t="s">
        <v>12</v>
      </c>
      <c r="J11" s="25" t="s">
        <v>13</v>
      </c>
      <c r="K11" s="25" t="s">
        <v>14</v>
      </c>
      <c r="L11" s="25" t="s">
        <v>15</v>
      </c>
      <c r="M11" s="25" t="s">
        <v>16</v>
      </c>
      <c r="N11" s="25" t="s">
        <v>17</v>
      </c>
      <c r="O11" s="25" t="s">
        <v>103</v>
      </c>
      <c r="P11" s="26" t="s">
        <v>36</v>
      </c>
    </row>
    <row r="12" spans="1:16" s="1" customFormat="1" ht="15">
      <c r="A12" s="48">
        <f>ROW()</f>
        <v>12</v>
      </c>
      <c r="B12" s="8" t="s">
        <v>1</v>
      </c>
      <c r="C12" s="27">
        <f>+C4</f>
        <v>6878.8428</v>
      </c>
      <c r="D12" s="27">
        <f aca="true" t="shared" si="2" ref="D12:O13">+C12+D4</f>
        <v>9364.982360000002</v>
      </c>
      <c r="E12" s="27">
        <f t="shared" si="2"/>
        <v>15534.940385000002</v>
      </c>
      <c r="F12" s="27">
        <f t="shared" si="2"/>
        <v>23790.254910000003</v>
      </c>
      <c r="G12" s="27">
        <f t="shared" si="2"/>
        <v>23790.254910000003</v>
      </c>
      <c r="H12" s="27">
        <f t="shared" si="2"/>
        <v>23790.254910000003</v>
      </c>
      <c r="I12" s="27">
        <f t="shared" si="2"/>
        <v>23790.254910000003</v>
      </c>
      <c r="J12" s="27">
        <f t="shared" si="2"/>
        <v>23790.254910000003</v>
      </c>
      <c r="K12" s="27">
        <f t="shared" si="2"/>
        <v>23790.254910000003</v>
      </c>
      <c r="L12" s="27">
        <f t="shared" si="2"/>
        <v>23790.254910000003</v>
      </c>
      <c r="M12" s="27">
        <f t="shared" si="2"/>
        <v>23790.254910000003</v>
      </c>
      <c r="N12" s="27">
        <f t="shared" si="2"/>
        <v>23790.254910000003</v>
      </c>
      <c r="O12" s="27">
        <f t="shared" si="2"/>
        <v>23790.254910000003</v>
      </c>
      <c r="P12" s="27">
        <f>+O12</f>
        <v>23790.254910000003</v>
      </c>
    </row>
    <row r="13" spans="1:16" s="1" customFormat="1" ht="15">
      <c r="A13" s="48">
        <f>ROW()</f>
        <v>13</v>
      </c>
      <c r="B13" s="8" t="s">
        <v>2</v>
      </c>
      <c r="C13" s="27">
        <f>+C5</f>
        <v>26320.738669299997</v>
      </c>
      <c r="D13" s="27">
        <f t="shared" si="2"/>
        <v>141107.1250564</v>
      </c>
      <c r="E13" s="27">
        <f t="shared" si="2"/>
        <v>172528.5441006</v>
      </c>
      <c r="F13" s="27">
        <f t="shared" si="2"/>
        <v>272910.2041514</v>
      </c>
      <c r="G13" s="27">
        <f t="shared" si="2"/>
        <v>524190.66465562745</v>
      </c>
      <c r="H13" s="27">
        <f t="shared" si="2"/>
        <v>749138.8219597025</v>
      </c>
      <c r="I13" s="27">
        <f t="shared" si="2"/>
        <v>930449.7196721132</v>
      </c>
      <c r="J13" s="27">
        <f t="shared" si="2"/>
        <v>1108822.0906617276</v>
      </c>
      <c r="K13" s="27">
        <f t="shared" si="2"/>
        <v>1280627.8382999217</v>
      </c>
      <c r="L13" s="27">
        <f t="shared" si="2"/>
        <v>1391485.1052242988</v>
      </c>
      <c r="M13" s="27">
        <f t="shared" si="2"/>
        <v>1482170.6957888624</v>
      </c>
      <c r="N13" s="27">
        <f t="shared" si="2"/>
        <v>1494937.6974459998</v>
      </c>
      <c r="O13" s="27">
        <f t="shared" si="2"/>
        <v>1494937.6974459998</v>
      </c>
      <c r="P13" s="27">
        <f>+O13</f>
        <v>1494937.6974459998</v>
      </c>
    </row>
    <row r="14" spans="1:16" s="1" customFormat="1" ht="15">
      <c r="A14" s="48">
        <f>ROW()</f>
        <v>14</v>
      </c>
      <c r="B14" s="170" t="s">
        <v>168</v>
      </c>
      <c r="C14" s="27">
        <f>+'MIX-1'!C6</f>
        <v>62799.47268985099</v>
      </c>
      <c r="D14" s="27">
        <f>+C14+'MIX-1'!D6</f>
        <v>100973.73342995098</v>
      </c>
      <c r="E14" s="27">
        <f>+D14+'MIX-1'!E6</f>
        <v>158800.834677351</v>
      </c>
      <c r="F14" s="27">
        <f>+E14+'MIX-1'!F6</f>
        <v>234598.539051551</v>
      </c>
      <c r="G14" s="27">
        <f>+F14+'MIX-1'!G6</f>
        <v>297414.21982267965</v>
      </c>
      <c r="H14" s="27">
        <f>+G14+'MIX-1'!H6</f>
        <v>359153.88834833266</v>
      </c>
      <c r="I14" s="27">
        <f>+H14+'MIX-1'!I6</f>
        <v>419989.4340727337</v>
      </c>
      <c r="J14" s="27">
        <f>+I14+'MIX-1'!J6</f>
        <v>482933.2045353677</v>
      </c>
      <c r="K14" s="27">
        <f>+J14+'MIX-1'!K6</f>
        <v>540626.3227713337</v>
      </c>
      <c r="L14" s="27">
        <f>+K14+'MIX-1'!L6</f>
        <v>595233.8596804013</v>
      </c>
      <c r="M14" s="27">
        <f>+L14+'MIX-1'!M6</f>
        <v>656401.4896792413</v>
      </c>
      <c r="N14" s="27">
        <f>+M14+'MIX-1'!N6</f>
        <v>703334.1017</v>
      </c>
      <c r="O14" s="27">
        <f>+N14+'MIX-1'!O6</f>
        <v>703334.1069953</v>
      </c>
      <c r="P14" s="27">
        <f>+O14</f>
        <v>703334.1069953</v>
      </c>
    </row>
    <row r="15" spans="1:16" s="1" customFormat="1" ht="15">
      <c r="A15" s="48">
        <f>ROW()</f>
        <v>15</v>
      </c>
      <c r="B15" s="170" t="s">
        <v>169</v>
      </c>
      <c r="C15" s="27">
        <f>+'MIX-1'!C7</f>
        <v>117654.03126361297</v>
      </c>
      <c r="D15" s="27">
        <f>+C15+'MIX-1'!D7</f>
        <v>214594.692806013</v>
      </c>
      <c r="E15" s="27">
        <f>+D15+'MIX-1'!E7</f>
        <v>283455.652650313</v>
      </c>
      <c r="F15" s="27">
        <f>+E15+'MIX-1'!F7</f>
        <v>429150.03580931295</v>
      </c>
      <c r="G15" s="27">
        <f>+F15+'MIX-1'!G7</f>
        <v>613138.1996754264</v>
      </c>
      <c r="H15" s="27">
        <f>+G15+'MIX-1'!H7</f>
        <v>788964.1792209243</v>
      </c>
      <c r="I15" s="27">
        <f>+H15+'MIX-1'!I7</f>
        <v>942502.1776735841</v>
      </c>
      <c r="J15" s="27">
        <f>+I15+'MIX-1'!J7</f>
        <v>1055485.5518357388</v>
      </c>
      <c r="K15" s="27">
        <f>+J15+'MIX-1'!K7</f>
        <v>1156707.1378230443</v>
      </c>
      <c r="L15" s="27">
        <f>+K15+'MIX-1'!L7</f>
        <v>1249020.035557056</v>
      </c>
      <c r="M15" s="27">
        <f>+L15+'MIX-1'!M7</f>
        <v>1336276.5572393911</v>
      </c>
      <c r="N15" s="27">
        <f>+M15+'MIX-1'!N7</f>
        <v>1402456.4034</v>
      </c>
      <c r="O15" s="27">
        <f>+N15+'MIX-1'!O7</f>
        <v>1402456.4084739</v>
      </c>
      <c r="P15" s="27">
        <f>+O15</f>
        <v>1402456.4084739</v>
      </c>
    </row>
    <row r="16" spans="1:16" s="1" customFormat="1" ht="15">
      <c r="A16" s="48">
        <f>ROW()</f>
        <v>16</v>
      </c>
      <c r="B16" s="8" t="s">
        <v>33</v>
      </c>
      <c r="C16" s="27">
        <f aca="true" t="shared" si="3" ref="C16:P16">SUM(C12:C15)</f>
        <v>213653.08542276395</v>
      </c>
      <c r="D16" s="27">
        <f t="shared" si="3"/>
        <v>466040.5336523639</v>
      </c>
      <c r="E16" s="27">
        <f t="shared" si="3"/>
        <v>630319.971813264</v>
      </c>
      <c r="F16" s="27">
        <f t="shared" si="3"/>
        <v>960449.033922264</v>
      </c>
      <c r="G16" s="27">
        <f t="shared" si="3"/>
        <v>1458533.3390637334</v>
      </c>
      <c r="H16" s="27">
        <f t="shared" si="3"/>
        <v>1921047.1444389597</v>
      </c>
      <c r="I16" s="27">
        <f t="shared" si="3"/>
        <v>2316731.586328431</v>
      </c>
      <c r="J16" s="27">
        <f t="shared" si="3"/>
        <v>2671031.101942834</v>
      </c>
      <c r="K16" s="27">
        <f t="shared" si="3"/>
        <v>3001751.5538043</v>
      </c>
      <c r="L16" s="27">
        <f t="shared" si="3"/>
        <v>3259529.255371756</v>
      </c>
      <c r="M16" s="27">
        <f t="shared" si="3"/>
        <v>3498638.9976174943</v>
      </c>
      <c r="N16" s="27">
        <f t="shared" si="3"/>
        <v>3624518.457456</v>
      </c>
      <c r="O16" s="27">
        <f t="shared" si="3"/>
        <v>3624518.4678252</v>
      </c>
      <c r="P16" s="27">
        <f t="shared" si="3"/>
        <v>3624518.4678252</v>
      </c>
    </row>
    <row r="17" s="1" customFormat="1" ht="15">
      <c r="A17" s="48">
        <f>ROW()</f>
        <v>17</v>
      </c>
    </row>
    <row r="18" spans="1:2" s="1" customFormat="1" ht="15.75" thickBot="1">
      <c r="A18" s="48">
        <f>ROW()</f>
        <v>18</v>
      </c>
      <c r="B18" s="5" t="s">
        <v>31</v>
      </c>
    </row>
    <row r="19" spans="1:16" s="16" customFormat="1" ht="15">
      <c r="A19" s="48">
        <f>ROW()</f>
        <v>19</v>
      </c>
      <c r="B19" s="17" t="s">
        <v>18</v>
      </c>
      <c r="C19" s="25" t="s">
        <v>138</v>
      </c>
      <c r="D19" s="25" t="s">
        <v>139</v>
      </c>
      <c r="E19" s="25" t="s">
        <v>8</v>
      </c>
      <c r="F19" s="25" t="s">
        <v>9</v>
      </c>
      <c r="G19" s="25" t="s">
        <v>10</v>
      </c>
      <c r="H19" s="25" t="s">
        <v>11</v>
      </c>
      <c r="I19" s="25" t="s">
        <v>12</v>
      </c>
      <c r="J19" s="25" t="s">
        <v>13</v>
      </c>
      <c r="K19" s="25" t="s">
        <v>14</v>
      </c>
      <c r="L19" s="25" t="s">
        <v>15</v>
      </c>
      <c r="M19" s="25" t="s">
        <v>16</v>
      </c>
      <c r="N19" s="25" t="s">
        <v>17</v>
      </c>
      <c r="O19" s="25" t="s">
        <v>103</v>
      </c>
      <c r="P19" s="26" t="s">
        <v>5</v>
      </c>
    </row>
    <row r="20" spans="1:16" s="1" customFormat="1" ht="15">
      <c r="A20" s="48">
        <f>ROW()</f>
        <v>20</v>
      </c>
      <c r="B20" s="8" t="s">
        <v>1</v>
      </c>
      <c r="C20" s="6">
        <f aca="true" t="shared" si="4" ref="C20:P21">IF(C4=0,0,C4/C$8)</f>
        <v>0.03219631856188062</v>
      </c>
      <c r="D20" s="6">
        <f t="shared" si="4"/>
        <v>0.00985048811832484</v>
      </c>
      <c r="E20" s="6">
        <f t="shared" si="4"/>
        <v>0.037557701037161856</v>
      </c>
      <c r="F20" s="6">
        <f t="shared" si="4"/>
        <v>0.025006324715133112</v>
      </c>
      <c r="G20" s="6">
        <f t="shared" si="4"/>
        <v>0</v>
      </c>
      <c r="H20" s="6">
        <f t="shared" si="4"/>
        <v>0</v>
      </c>
      <c r="I20" s="6">
        <f t="shared" si="4"/>
        <v>0</v>
      </c>
      <c r="J20" s="6">
        <f t="shared" si="4"/>
        <v>0</v>
      </c>
      <c r="K20" s="6">
        <f t="shared" si="4"/>
        <v>0</v>
      </c>
      <c r="L20" s="6">
        <f t="shared" si="4"/>
        <v>0</v>
      </c>
      <c r="M20" s="6">
        <f t="shared" si="4"/>
        <v>0</v>
      </c>
      <c r="N20" s="6">
        <f t="shared" si="4"/>
        <v>0</v>
      </c>
      <c r="O20" s="6">
        <f t="shared" si="4"/>
        <v>0</v>
      </c>
      <c r="P20" s="6">
        <f t="shared" si="4"/>
        <v>0.006563700839486891</v>
      </c>
    </row>
    <row r="21" spans="1:16" s="1" customFormat="1" ht="15">
      <c r="A21" s="48">
        <f>ROW()</f>
        <v>21</v>
      </c>
      <c r="B21" s="8" t="s">
        <v>2</v>
      </c>
      <c r="C21" s="6">
        <f t="shared" si="4"/>
        <v>0.1231938149510834</v>
      </c>
      <c r="D21" s="6">
        <f t="shared" si="4"/>
        <v>0.4548022779749229</v>
      </c>
      <c r="E21" s="6">
        <f t="shared" si="4"/>
        <v>0.1912681184934718</v>
      </c>
      <c r="F21" s="6">
        <f t="shared" si="4"/>
        <v>0.30406792849293773</v>
      </c>
      <c r="G21" s="6">
        <f t="shared" si="4"/>
        <v>0.5044938334944261</v>
      </c>
      <c r="H21" s="6">
        <f t="shared" si="4"/>
        <v>0.4863598765913165</v>
      </c>
      <c r="I21" s="6">
        <f t="shared" si="4"/>
        <v>0.458220942038093</v>
      </c>
      <c r="J21" s="6">
        <f t="shared" si="4"/>
        <v>0.5034507898784244</v>
      </c>
      <c r="K21" s="6">
        <f t="shared" si="4"/>
        <v>0.5194893350900515</v>
      </c>
      <c r="L21" s="6">
        <f t="shared" si="4"/>
        <v>0.43004986952049257</v>
      </c>
      <c r="M21" s="6">
        <f t="shared" si="4"/>
        <v>0.37926347004031286</v>
      </c>
      <c r="N21" s="6">
        <f t="shared" si="4"/>
        <v>0.10142243757255215</v>
      </c>
      <c r="O21" s="6">
        <f t="shared" si="4"/>
        <v>0</v>
      </c>
      <c r="P21" s="6">
        <f t="shared" si="4"/>
        <v>0.4124513947760347</v>
      </c>
    </row>
    <row r="22" spans="1:16" s="1" customFormat="1" ht="15">
      <c r="A22" s="48">
        <f>ROW()</f>
        <v>22</v>
      </c>
      <c r="B22" s="170" t="s">
        <v>168</v>
      </c>
      <c r="C22" s="6">
        <f>IF('MIX-1'!C6=0,0,'MIX-1'!C6/C$8)</f>
        <v>0.2939319718486028</v>
      </c>
      <c r="D22" s="6">
        <f>IF('MIX-1'!D6=0,0,'MIX-1'!D6/D$8)</f>
        <v>0.1512526118389707</v>
      </c>
      <c r="E22" s="6">
        <f>IF('MIX-1'!E6=0,0,'MIX-1'!E6/E$8)</f>
        <v>0.35200449852258736</v>
      </c>
      <c r="F22" s="6">
        <f>IF('MIX-1'!F6=0,0,'MIX-1'!F6/F$8)</f>
        <v>0.22960021723011342</v>
      </c>
      <c r="G22" s="6">
        <f>IF('MIX-1'!G6=0,0,'MIX-1'!G6/G$8)</f>
        <v>0.12611455555357698</v>
      </c>
      <c r="H22" s="6">
        <f>IF('MIX-1'!H6=0,0,'MIX-1'!H6/H$8)</f>
        <v>0.13348719067004958</v>
      </c>
      <c r="I22" s="6">
        <f>IF('MIX-1'!I6=0,0,'MIX-1'!I6/I$8)</f>
        <v>0.15374763140521586</v>
      </c>
      <c r="J22" s="6">
        <f>IF('MIX-1'!J6=0,0,'MIX-1'!J6/J$8)</f>
        <v>0.1776569475503828</v>
      </c>
      <c r="K22" s="6">
        <f>IF('MIX-1'!K6=0,0,'MIX-1'!K6/K$8)</f>
        <v>0.17444678099355315</v>
      </c>
      <c r="L22" s="6">
        <f>IF('MIX-1'!L6=0,0,'MIX-1'!L6/L$8)</f>
        <v>0.21183964546591164</v>
      </c>
      <c r="M22" s="6">
        <f>IF('MIX-1'!M6=0,0,'MIX-1'!M6/M$8)</f>
        <v>0.2558140434778964</v>
      </c>
      <c r="N22" s="6">
        <f>IF('MIX-1'!N6=0,0,'MIX-1'!N6/N$8)</f>
        <v>0.3728377296897376</v>
      </c>
      <c r="O22" s="6">
        <f>IF('MIX-1'!O6=0,0,'MIX-1'!O6/O$8)</f>
        <v>0.5106758477028122</v>
      </c>
      <c r="P22" s="6">
        <f>IF('MIX-1'!P6=0,0,'MIX-1'!P6/P$8)</f>
        <v>0.19404897870952714</v>
      </c>
    </row>
    <row r="23" spans="1:16" s="1" customFormat="1" ht="15">
      <c r="A23" s="48">
        <f>ROW()</f>
        <v>23</v>
      </c>
      <c r="B23" s="170" t="s">
        <v>169</v>
      </c>
      <c r="C23" s="6">
        <f>IF('MIX-1'!C7=0,0,'MIX-1'!C7/C$8)</f>
        <v>0.5506778946384332</v>
      </c>
      <c r="D23" s="6">
        <f>IF('MIX-1'!D7=0,0,'MIX-1'!D7/D$8)</f>
        <v>0.3840946220677816</v>
      </c>
      <c r="E23" s="6">
        <f>IF('MIX-1'!E7=0,0,'MIX-1'!E7/E$8)</f>
        <v>0.419169681946779</v>
      </c>
      <c r="F23" s="6">
        <f>IF('MIX-1'!F7=0,0,'MIX-1'!F7/F$8)</f>
        <v>0.44132552956181587</v>
      </c>
      <c r="G23" s="6">
        <f>IF('MIX-1'!G7=0,0,'MIX-1'!G7/G$8)</f>
        <v>0.36939161095199685</v>
      </c>
      <c r="H23" s="6">
        <f>IF('MIX-1'!H7=0,0,'MIX-1'!H7/H$8)</f>
        <v>0.38015293273863393</v>
      </c>
      <c r="I23" s="6">
        <f>IF('MIX-1'!I7=0,0,'MIX-1'!I7/I$8)</f>
        <v>0.3880314265566911</v>
      </c>
      <c r="J23" s="6">
        <f>IF('MIX-1'!J7=0,0,'MIX-1'!J7/J$8)</f>
        <v>0.31889226257119285</v>
      </c>
      <c r="K23" s="6">
        <f>IF('MIX-1'!K7=0,0,'MIX-1'!K7/K$8)</f>
        <v>0.30606388391639544</v>
      </c>
      <c r="L23" s="6">
        <f>IF('MIX-1'!L7=0,0,'MIX-1'!L7/L$8)</f>
        <v>0.3581104850135959</v>
      </c>
      <c r="M23" s="6">
        <f>IF('MIX-1'!M7=0,0,'MIX-1'!M7/M$8)</f>
        <v>0.3649224864817908</v>
      </c>
      <c r="N23" s="6">
        <f>IF('MIX-1'!N7=0,0,'MIX-1'!N7/N$8)</f>
        <v>0.5257398327377102</v>
      </c>
      <c r="O23" s="6">
        <f>IF('MIX-1'!O7=0,0,'MIX-1'!O7/O$8)</f>
        <v>0.4893241522971879</v>
      </c>
      <c r="P23" s="6">
        <f>IF('MIX-1'!P7=0,0,'MIX-1'!P7/P$8)</f>
        <v>0.38693592567495133</v>
      </c>
    </row>
    <row r="24" s="1" customFormat="1" ht="15">
      <c r="A24" s="48">
        <f>ROW()</f>
        <v>24</v>
      </c>
    </row>
    <row r="25" spans="1:2" s="1" customFormat="1" ht="15.75" thickBot="1">
      <c r="A25" s="48">
        <f>ROW()</f>
        <v>25</v>
      </c>
      <c r="B25" s="5" t="s">
        <v>32</v>
      </c>
    </row>
    <row r="26" spans="1:16" s="16" customFormat="1" ht="15">
      <c r="A26" s="48">
        <f>ROW()</f>
        <v>26</v>
      </c>
      <c r="B26" s="17" t="s">
        <v>18</v>
      </c>
      <c r="C26" s="25" t="s">
        <v>138</v>
      </c>
      <c r="D26" s="25" t="s">
        <v>139</v>
      </c>
      <c r="E26" s="25" t="s">
        <v>8</v>
      </c>
      <c r="F26" s="25" t="s">
        <v>9</v>
      </c>
      <c r="G26" s="25" t="s">
        <v>10</v>
      </c>
      <c r="H26" s="25" t="s">
        <v>11</v>
      </c>
      <c r="I26" s="25" t="s">
        <v>12</v>
      </c>
      <c r="J26" s="25" t="s">
        <v>13</v>
      </c>
      <c r="K26" s="25" t="s">
        <v>14</v>
      </c>
      <c r="L26" s="25" t="s">
        <v>15</v>
      </c>
      <c r="M26" s="25" t="s">
        <v>16</v>
      </c>
      <c r="N26" s="25" t="s">
        <v>17</v>
      </c>
      <c r="O26" s="25" t="s">
        <v>103</v>
      </c>
      <c r="P26" s="26" t="s">
        <v>5</v>
      </c>
    </row>
    <row r="27" spans="1:16" s="1" customFormat="1" ht="15">
      <c r="A27" s="48">
        <f>ROW()</f>
        <v>27</v>
      </c>
      <c r="B27" s="8" t="s">
        <v>1</v>
      </c>
      <c r="C27" s="6">
        <f aca="true" t="shared" si="5" ref="C27:P30">+C12/C$16</f>
        <v>0.03219631856188062</v>
      </c>
      <c r="D27" s="6">
        <f t="shared" si="5"/>
        <v>0.02009478078356522</v>
      </c>
      <c r="E27" s="6">
        <f t="shared" si="5"/>
        <v>0.02464611797133777</v>
      </c>
      <c r="F27" s="6">
        <f t="shared" si="5"/>
        <v>0.02476992955351915</v>
      </c>
      <c r="G27" s="6">
        <f t="shared" si="5"/>
        <v>0.016311080640276296</v>
      </c>
      <c r="H27" s="6">
        <f t="shared" si="5"/>
        <v>0.012384003681985603</v>
      </c>
      <c r="I27" s="6">
        <f t="shared" si="5"/>
        <v>0.01026888701755171</v>
      </c>
      <c r="J27" s="6">
        <f t="shared" si="5"/>
        <v>0.008906768211233344</v>
      </c>
      <c r="K27" s="6">
        <f t="shared" si="5"/>
        <v>0.007925457681482395</v>
      </c>
      <c r="L27" s="6">
        <f t="shared" si="5"/>
        <v>0.007298678136050869</v>
      </c>
      <c r="M27" s="6">
        <f t="shared" si="5"/>
        <v>0.006799859867280021</v>
      </c>
      <c r="N27" s="6">
        <f t="shared" si="5"/>
        <v>0.006563700858264647</v>
      </c>
      <c r="O27" s="6">
        <f t="shared" si="5"/>
        <v>0.00656370083948689</v>
      </c>
      <c r="P27" s="6">
        <f t="shared" si="5"/>
        <v>0.00656370083948689</v>
      </c>
    </row>
    <row r="28" spans="1:16" s="1" customFormat="1" ht="15">
      <c r="A28" s="48">
        <f>ROW()</f>
        <v>28</v>
      </c>
      <c r="B28" s="8" t="s">
        <v>2</v>
      </c>
      <c r="C28" s="6">
        <f t="shared" si="5"/>
        <v>0.1231938149510834</v>
      </c>
      <c r="D28" s="6">
        <f t="shared" si="5"/>
        <v>0.3027786530723887</v>
      </c>
      <c r="E28" s="6">
        <f t="shared" si="5"/>
        <v>0.2737158138973147</v>
      </c>
      <c r="F28" s="6">
        <f t="shared" si="5"/>
        <v>0.284148553970526</v>
      </c>
      <c r="G28" s="6">
        <f t="shared" si="5"/>
        <v>0.3593957372219669</v>
      </c>
      <c r="H28" s="6">
        <f t="shared" si="5"/>
        <v>0.3899637883059283</v>
      </c>
      <c r="I28" s="6">
        <f t="shared" si="5"/>
        <v>0.4016217179249043</v>
      </c>
      <c r="J28" s="6">
        <f t="shared" si="5"/>
        <v>0.4151288578613709</v>
      </c>
      <c r="K28" s="6">
        <f t="shared" si="5"/>
        <v>0.4266268594670686</v>
      </c>
      <c r="L28" s="6">
        <f t="shared" si="5"/>
        <v>0.4268975659387346</v>
      </c>
      <c r="M28" s="6">
        <f t="shared" si="5"/>
        <v>0.4236420781904598</v>
      </c>
      <c r="N28" s="6">
        <f t="shared" si="5"/>
        <v>0.4124513959559958</v>
      </c>
      <c r="O28" s="6">
        <f t="shared" si="5"/>
        <v>0.41245139477603465</v>
      </c>
      <c r="P28" s="6">
        <f t="shared" si="5"/>
        <v>0.41245139477603465</v>
      </c>
    </row>
    <row r="29" spans="1:16" s="1" customFormat="1" ht="15">
      <c r="A29" s="48">
        <f>ROW()</f>
        <v>29</v>
      </c>
      <c r="B29" s="170" t="s">
        <v>168</v>
      </c>
      <c r="C29" s="6">
        <f t="shared" si="5"/>
        <v>0.2939319718486028</v>
      </c>
      <c r="D29" s="6">
        <f t="shared" si="5"/>
        <v>0.2166629855961646</v>
      </c>
      <c r="E29" s="6">
        <f t="shared" si="5"/>
        <v>0.251936860291009</v>
      </c>
      <c r="F29" s="6">
        <f t="shared" si="5"/>
        <v>0.24425922747144824</v>
      </c>
      <c r="G29" s="6">
        <f t="shared" si="5"/>
        <v>0.2039132132650439</v>
      </c>
      <c r="H29" s="6">
        <f t="shared" si="5"/>
        <v>0.1869573526022045</v>
      </c>
      <c r="I29" s="6">
        <f t="shared" si="5"/>
        <v>0.18128532306081052</v>
      </c>
      <c r="J29" s="6">
        <f t="shared" si="5"/>
        <v>0.18080403638283937</v>
      </c>
      <c r="K29" s="6">
        <f t="shared" si="5"/>
        <v>0.1801036205298755</v>
      </c>
      <c r="L29" s="6">
        <f t="shared" si="5"/>
        <v>0.18261344293794768</v>
      </c>
      <c r="M29" s="6">
        <f t="shared" si="5"/>
        <v>0.18761623880778727</v>
      </c>
      <c r="N29" s="6">
        <f t="shared" si="5"/>
        <v>0.19404897780370542</v>
      </c>
      <c r="O29" s="6">
        <f t="shared" si="5"/>
        <v>0.19404897870952711</v>
      </c>
      <c r="P29" s="6">
        <f t="shared" si="5"/>
        <v>0.19404897870952711</v>
      </c>
    </row>
    <row r="30" spans="1:16" s="1" customFormat="1" ht="15">
      <c r="A30" s="48">
        <f>ROW()</f>
        <v>30</v>
      </c>
      <c r="B30" s="170" t="s">
        <v>169</v>
      </c>
      <c r="C30" s="6">
        <f t="shared" si="5"/>
        <v>0.5506778946384332</v>
      </c>
      <c r="D30" s="6">
        <f t="shared" si="5"/>
        <v>0.46046358054788156</v>
      </c>
      <c r="E30" s="6">
        <f t="shared" si="5"/>
        <v>0.4497012078403386</v>
      </c>
      <c r="F30" s="6">
        <f t="shared" si="5"/>
        <v>0.44682228900450655</v>
      </c>
      <c r="G30" s="6">
        <f t="shared" si="5"/>
        <v>0.420379968872713</v>
      </c>
      <c r="H30" s="6">
        <f t="shared" si="5"/>
        <v>0.4106948554098815</v>
      </c>
      <c r="I30" s="6">
        <f t="shared" si="5"/>
        <v>0.4068240719967334</v>
      </c>
      <c r="J30" s="6">
        <f t="shared" si="5"/>
        <v>0.39516033754455643</v>
      </c>
      <c r="K30" s="6">
        <f t="shared" si="5"/>
        <v>0.38534406232157353</v>
      </c>
      <c r="L30" s="6">
        <f t="shared" si="5"/>
        <v>0.38319031298726686</v>
      </c>
      <c r="M30" s="6">
        <f t="shared" si="5"/>
        <v>0.38194182313447306</v>
      </c>
      <c r="N30" s="6">
        <f t="shared" si="5"/>
        <v>0.38693592538203403</v>
      </c>
      <c r="O30" s="6">
        <f t="shared" si="5"/>
        <v>0.38693592567495133</v>
      </c>
      <c r="P30" s="6">
        <f t="shared" si="5"/>
        <v>0.38693592567495133</v>
      </c>
    </row>
    <row r="31" ht="12.75">
      <c r="A31" s="48">
        <f>ROW()</f>
        <v>31</v>
      </c>
    </row>
    <row r="32" spans="1:16" ht="15.75" thickBot="1">
      <c r="A32" s="48">
        <f>ROW()</f>
        <v>32</v>
      </c>
      <c r="B32" s="5" t="s">
        <v>57</v>
      </c>
      <c r="C32" s="1"/>
      <c r="D32" s="1"/>
      <c r="E32" s="1"/>
      <c r="F32" s="1"/>
      <c r="G32" s="1"/>
      <c r="H32" s="1"/>
      <c r="I32" s="1"/>
      <c r="J32" s="1"/>
      <c r="K32" s="1"/>
      <c r="L32" s="1"/>
      <c r="M32" s="1"/>
      <c r="N32" s="1"/>
      <c r="O32" s="1"/>
      <c r="P32" s="1"/>
    </row>
    <row r="33" spans="1:16" ht="15">
      <c r="A33" s="48">
        <f>ROW()</f>
        <v>33</v>
      </c>
      <c r="B33" s="17" t="s">
        <v>18</v>
      </c>
      <c r="C33" s="25" t="s">
        <v>138</v>
      </c>
      <c r="D33" s="25" t="s">
        <v>139</v>
      </c>
      <c r="E33" s="25" t="s">
        <v>8</v>
      </c>
      <c r="F33" s="25" t="s">
        <v>9</v>
      </c>
      <c r="G33" s="25" t="s">
        <v>10</v>
      </c>
      <c r="H33" s="25" t="s">
        <v>11</v>
      </c>
      <c r="I33" s="25" t="s">
        <v>12</v>
      </c>
      <c r="J33" s="25" t="s">
        <v>13</v>
      </c>
      <c r="K33" s="25" t="s">
        <v>14</v>
      </c>
      <c r="L33" s="25" t="s">
        <v>15</v>
      </c>
      <c r="M33" s="25" t="s">
        <v>16</v>
      </c>
      <c r="N33" s="25" t="s">
        <v>17</v>
      </c>
      <c r="O33" s="25" t="s">
        <v>103</v>
      </c>
      <c r="P33" s="26" t="s">
        <v>5</v>
      </c>
    </row>
    <row r="34" spans="1:16" ht="15">
      <c r="A34" s="48">
        <f>ROW()</f>
        <v>34</v>
      </c>
      <c r="B34" s="8" t="s">
        <v>1</v>
      </c>
      <c r="C34" s="27">
        <f>+VOLUMES!C5</f>
        <v>6554.4</v>
      </c>
      <c r="D34" s="27">
        <f>+VOLUMES!D5</f>
        <v>2368.88</v>
      </c>
      <c r="E34" s="27">
        <f>+VOLUMES!E5</f>
        <v>5878.95</v>
      </c>
      <c r="F34" s="27">
        <f>+VOLUMES!F5</f>
        <v>7865.95</v>
      </c>
      <c r="G34" s="27">
        <f>+VOLUMES!G5</f>
        <v>0</v>
      </c>
      <c r="H34" s="27">
        <f>+VOLUMES!H5</f>
        <v>0</v>
      </c>
      <c r="I34" s="27">
        <f>+VOLUMES!I5</f>
        <v>0</v>
      </c>
      <c r="J34" s="27">
        <f>+VOLUMES!J5</f>
        <v>0</v>
      </c>
      <c r="K34" s="27">
        <f>+VOLUMES!K5</f>
        <v>0</v>
      </c>
      <c r="L34" s="27">
        <f>+VOLUMES!L5</f>
        <v>0</v>
      </c>
      <c r="M34" s="27">
        <f>+VOLUMES!M5</f>
        <v>0</v>
      </c>
      <c r="N34" s="27">
        <f>+VOLUMES!N5</f>
        <v>0</v>
      </c>
      <c r="O34" s="27">
        <f>+VOLUMES!O5</f>
        <v>0</v>
      </c>
      <c r="P34" s="27">
        <f>SUM(C34:O34)</f>
        <v>22668.18</v>
      </c>
    </row>
    <row r="35" spans="1:16" ht="15">
      <c r="A35" s="48">
        <f>ROW()</f>
        <v>35</v>
      </c>
      <c r="B35" s="8" t="s">
        <v>2</v>
      </c>
      <c r="C35" s="27">
        <f>+VOLUMES!C4</f>
        <v>25180.081</v>
      </c>
      <c r="D35" s="27">
        <f>+VOLUMES!D4</f>
        <v>109811.907</v>
      </c>
      <c r="E35" s="27">
        <f>+VOLUMES!E4</f>
        <v>30059.714</v>
      </c>
      <c r="F35" s="27">
        <f>+VOLUMES!F4</f>
        <v>96031.436</v>
      </c>
      <c r="G35" s="27">
        <f>+VOLUMES!G4</f>
        <v>240390.75911626083</v>
      </c>
      <c r="H35" s="27">
        <f>+VOLUMES!H4</f>
        <v>215199.61475564446</v>
      </c>
      <c r="I35" s="27">
        <f>+VOLUMES!I4</f>
        <v>173453.45614886703</v>
      </c>
      <c r="J35" s="27">
        <f>+VOLUMES!J4</f>
        <v>170642.27589171944</v>
      </c>
      <c r="K35" s="27">
        <f>+VOLUMES!K4</f>
        <v>164360.22925303184</v>
      </c>
      <c r="L35" s="27">
        <f>+VOLUMES!L4</f>
        <v>106053.06316308919</v>
      </c>
      <c r="M35" s="27">
        <f>+VOLUMES!M4</f>
        <v>86755.56353636626</v>
      </c>
      <c r="N35" s="27">
        <f>+VOLUMES!N4</f>
        <v>12213.720135020909</v>
      </c>
      <c r="O35" s="27">
        <f>+VOLUMES!O4</f>
        <v>0</v>
      </c>
      <c r="P35" s="27">
        <f>SUM(C35:O35)</f>
        <v>1430151.8199999998</v>
      </c>
    </row>
    <row r="36" spans="1:16" ht="15">
      <c r="A36" s="48">
        <f>ROW()</f>
        <v>36</v>
      </c>
      <c r="B36" s="170" t="s">
        <v>168</v>
      </c>
      <c r="C36" s="27">
        <f>+VOLUMES!C7+VOLUMES!C6+VOLUMES!C10</f>
        <v>35578.42201</v>
      </c>
      <c r="D36" s="27">
        <f>+VOLUMES!D7+VOLUMES!D6+VOLUMES!D10</f>
        <v>21627.251</v>
      </c>
      <c r="E36" s="27">
        <f>+VOLUMES!E7+VOLUMES!E6+VOLUMES!E10</f>
        <v>32761.374</v>
      </c>
      <c r="F36" s="27">
        <f>+VOLUMES!F7+VOLUMES!F6+VOLUMES!F10</f>
        <v>42942.442</v>
      </c>
      <c r="G36" s="27">
        <f>+VOLUMES!G7+VOLUMES!G6+VOLUMES!G10</f>
        <v>35587.604538625936</v>
      </c>
      <c r="H36" s="27">
        <f>+VOLUMES!H7+VOLUMES!H6+VOLUMES!H10</f>
        <v>34978.000411111556</v>
      </c>
      <c r="I36" s="27">
        <f>+VOLUMES!I7+VOLUMES!I6+VOLUMES!I10</f>
        <v>34465.77855328368</v>
      </c>
      <c r="J36" s="27">
        <f>+VOLUMES!J7+VOLUMES!J6+VOLUMES!J10</f>
        <v>35660.17249030311</v>
      </c>
      <c r="K36" s="27">
        <f>+VOLUMES!K7+VOLUMES!K6+VOLUMES!K10</f>
        <v>32685.46724602914</v>
      </c>
      <c r="L36" s="27">
        <f>+VOLUMES!L7+VOLUMES!L6+VOLUMES!L10</f>
        <v>30937.36157105408</v>
      </c>
      <c r="M36" s="27">
        <f>+VOLUMES!M7+VOLUMES!M6+VOLUMES!M10</f>
        <v>34653.917624406546</v>
      </c>
      <c r="N36" s="27">
        <f>+VOLUMES!N7+VOLUMES!N6+VOLUMES!N10</f>
        <v>26589.208555185935</v>
      </c>
      <c r="O36" s="27">
        <f>+VOLUMES!O7+VOLUMES!O6+VOLUMES!O10</f>
        <v>0.003</v>
      </c>
      <c r="P36" s="27">
        <f>SUM(C36:O36)</f>
        <v>398467.003</v>
      </c>
    </row>
    <row r="37" spans="1:16" ht="15">
      <c r="A37" s="48">
        <f>ROW()</f>
        <v>37</v>
      </c>
      <c r="B37" s="170" t="s">
        <v>169</v>
      </c>
      <c r="C37" s="27">
        <f>+VOLUMES!C9+VOLUMES!C8+VOLUMES!C11</f>
        <v>69564.25900999998</v>
      </c>
      <c r="D37" s="27">
        <f>+VOLUMES!D9+VOLUMES!D8+VOLUMES!D11</f>
        <v>57317.248</v>
      </c>
      <c r="E37" s="27">
        <f>+VOLUMES!E9+VOLUMES!E8+VOLUMES!E11</f>
        <v>40714.811</v>
      </c>
      <c r="F37" s="27">
        <f>+VOLUMES!F9+VOLUMES!F8+VOLUMES!F11</f>
        <v>86143.43</v>
      </c>
      <c r="G37" s="27">
        <f>+VOLUMES!G9+VOLUMES!G8+VOLUMES!G11</f>
        <v>108785.0552037565</v>
      </c>
      <c r="H37" s="27">
        <f>+VOLUMES!H9+VOLUMES!H8+VOLUMES!H11</f>
        <v>103959.07263377162</v>
      </c>
      <c r="I37" s="27">
        <f>+VOLUMES!I9+VOLUMES!I8+VOLUMES!I11</f>
        <v>90781.05507754967</v>
      </c>
      <c r="J37" s="27">
        <f>+VOLUMES!J9+VOLUMES!J8+VOLUMES!J11</f>
        <v>66802.68087397542</v>
      </c>
      <c r="K37" s="27">
        <f>+VOLUMES!K9+VOLUMES!K8+VOLUMES!K11</f>
        <v>59848.39235340002</v>
      </c>
      <c r="L37" s="27">
        <f>+VOLUMES!L9+VOLUMES!L8+VOLUMES!L11</f>
        <v>54581.03100219465</v>
      </c>
      <c r="M37" s="27">
        <f>+VOLUMES!M9+VOLUMES!M8+VOLUMES!M11</f>
        <v>51591.392232208986</v>
      </c>
      <c r="N37" s="27">
        <f>+VOLUMES!N9+VOLUMES!N8+VOLUMES!N11</f>
        <v>39129.57261314309</v>
      </c>
      <c r="O37" s="27">
        <f>+VOLUMES!O9+VOLUMES!O8+VOLUMES!O11</f>
        <v>0.003</v>
      </c>
      <c r="P37" s="27">
        <f>SUM(C37:O37)</f>
        <v>829218.0029999999</v>
      </c>
    </row>
    <row r="38" ht="12.75">
      <c r="A38" s="48">
        <f>ROW()</f>
        <v>38</v>
      </c>
    </row>
    <row r="39" spans="1:16" ht="15.75" thickBot="1">
      <c r="A39" s="48">
        <f>ROW()</f>
        <v>39</v>
      </c>
      <c r="B39" s="5" t="s">
        <v>56</v>
      </c>
      <c r="C39" s="1"/>
      <c r="D39" s="1"/>
      <c r="E39" s="1"/>
      <c r="F39" s="1"/>
      <c r="G39" s="1"/>
      <c r="H39" s="1"/>
      <c r="I39" s="1"/>
      <c r="J39" s="1"/>
      <c r="K39" s="1"/>
      <c r="L39" s="1"/>
      <c r="M39" s="1"/>
      <c r="N39" s="1"/>
      <c r="O39" s="1"/>
      <c r="P39" s="1"/>
    </row>
    <row r="40" spans="1:16" ht="15">
      <c r="A40" s="48">
        <f>ROW()</f>
        <v>40</v>
      </c>
      <c r="B40" s="17" t="s">
        <v>18</v>
      </c>
      <c r="C40" s="25" t="s">
        <v>138</v>
      </c>
      <c r="D40" s="25" t="s">
        <v>139</v>
      </c>
      <c r="E40" s="25" t="s">
        <v>8</v>
      </c>
      <c r="F40" s="25" t="s">
        <v>9</v>
      </c>
      <c r="G40" s="25" t="s">
        <v>10</v>
      </c>
      <c r="H40" s="25" t="s">
        <v>11</v>
      </c>
      <c r="I40" s="25" t="s">
        <v>12</v>
      </c>
      <c r="J40" s="25" t="s">
        <v>13</v>
      </c>
      <c r="K40" s="25" t="s">
        <v>14</v>
      </c>
      <c r="L40" s="25" t="s">
        <v>15</v>
      </c>
      <c r="M40" s="25" t="s">
        <v>16</v>
      </c>
      <c r="N40" s="25" t="s">
        <v>17</v>
      </c>
      <c r="O40" s="25" t="s">
        <v>103</v>
      </c>
      <c r="P40" s="26" t="s">
        <v>5</v>
      </c>
    </row>
    <row r="41" spans="1:16" ht="15">
      <c r="A41" s="48">
        <f>ROW()</f>
        <v>41</v>
      </c>
      <c r="B41" s="8" t="s">
        <v>1</v>
      </c>
      <c r="C41" s="27">
        <f>+VOLUMES!C5</f>
        <v>6554.4</v>
      </c>
      <c r="D41" s="27">
        <f>+VOLUMES!D5+C41</f>
        <v>8923.279999999999</v>
      </c>
      <c r="E41" s="27">
        <f>+VOLUMES!E5+D41</f>
        <v>14802.23</v>
      </c>
      <c r="F41" s="27">
        <f>+VOLUMES!F5+E41</f>
        <v>22668.18</v>
      </c>
      <c r="G41" s="27">
        <f>+VOLUMES!G5+F41</f>
        <v>22668.18</v>
      </c>
      <c r="H41" s="27">
        <f>+VOLUMES!H5+G41</f>
        <v>22668.18</v>
      </c>
      <c r="I41" s="27">
        <f>+VOLUMES!I5+H41</f>
        <v>22668.18</v>
      </c>
      <c r="J41" s="27">
        <f>+VOLUMES!J5+I41</f>
        <v>22668.18</v>
      </c>
      <c r="K41" s="27">
        <f>+VOLUMES!K5+J41</f>
        <v>22668.18</v>
      </c>
      <c r="L41" s="27">
        <f>+VOLUMES!L5+K41</f>
        <v>22668.18</v>
      </c>
      <c r="M41" s="27">
        <f>+VOLUMES!M5+L41</f>
        <v>22668.18</v>
      </c>
      <c r="N41" s="27">
        <f>+VOLUMES!N5+M41</f>
        <v>22668.18</v>
      </c>
      <c r="O41" s="27">
        <f>+VOLUMES!O5+N41</f>
        <v>22668.18</v>
      </c>
      <c r="P41" s="27">
        <f>+O41</f>
        <v>22668.18</v>
      </c>
    </row>
    <row r="42" spans="1:16" ht="15">
      <c r="A42" s="48">
        <f>ROW()</f>
        <v>42</v>
      </c>
      <c r="B42" s="8" t="s">
        <v>2</v>
      </c>
      <c r="C42" s="27">
        <f>+VOLUMES!C4</f>
        <v>25180.081</v>
      </c>
      <c r="D42" s="27">
        <f>+VOLUMES!D4+C42</f>
        <v>134991.988</v>
      </c>
      <c r="E42" s="27">
        <f>+VOLUMES!E4+D42</f>
        <v>165051.70200000002</v>
      </c>
      <c r="F42" s="27">
        <f>+VOLUMES!F4+E42</f>
        <v>261083.13800000004</v>
      </c>
      <c r="G42" s="27">
        <f>+VOLUMES!G4+F42</f>
        <v>501473.89711626084</v>
      </c>
      <c r="H42" s="27">
        <f>+VOLUMES!H4+G42</f>
        <v>716673.5118719053</v>
      </c>
      <c r="I42" s="27">
        <f>+VOLUMES!I4+H42</f>
        <v>890126.9680207723</v>
      </c>
      <c r="J42" s="27">
        <f>+VOLUMES!J4+I42</f>
        <v>1060769.2439124917</v>
      </c>
      <c r="K42" s="27">
        <f>+VOLUMES!K4+J42</f>
        <v>1225129.4731655235</v>
      </c>
      <c r="L42" s="27">
        <f>+VOLUMES!L4+K42</f>
        <v>1331182.5363286126</v>
      </c>
      <c r="M42" s="27">
        <f>+VOLUMES!M4+L42</f>
        <v>1417938.0998649788</v>
      </c>
      <c r="N42" s="27">
        <f>+VOLUMES!N4+M42</f>
        <v>1430151.8199999998</v>
      </c>
      <c r="O42" s="27">
        <f>+VOLUMES!O4+N42</f>
        <v>1430151.8199999998</v>
      </c>
      <c r="P42" s="27">
        <f>+O42</f>
        <v>1430151.8199999998</v>
      </c>
    </row>
    <row r="43" spans="1:16" ht="15">
      <c r="A43" s="48">
        <f>ROW()</f>
        <v>43</v>
      </c>
      <c r="B43" s="170" t="s">
        <v>168</v>
      </c>
      <c r="C43" s="27">
        <f>+VOLUMES!C7+VOLUMES!C6+VOLUMES!C10</f>
        <v>35578.42201</v>
      </c>
      <c r="D43" s="27">
        <f>+VOLUMES!D7+VOLUMES!D6+VOLUMES!D10+C43</f>
        <v>57205.67301</v>
      </c>
      <c r="E43" s="27">
        <f>+VOLUMES!E7+VOLUMES!E6+VOLUMES!E10+D43</f>
        <v>89967.04701</v>
      </c>
      <c r="F43" s="27">
        <f>+VOLUMES!F7+VOLUMES!F6+VOLUMES!F10+E43</f>
        <v>132909.48901</v>
      </c>
      <c r="G43" s="27">
        <f>+VOLUMES!G7+VOLUMES!G6+VOLUMES!G10+F43</f>
        <v>168497.09354862594</v>
      </c>
      <c r="H43" s="27">
        <f>+VOLUMES!H7+VOLUMES!H6+VOLUMES!H10+G43</f>
        <v>203475.0939597375</v>
      </c>
      <c r="I43" s="27">
        <f>+VOLUMES!I7+VOLUMES!I6+VOLUMES!I10+H43</f>
        <v>237940.8725130212</v>
      </c>
      <c r="J43" s="27">
        <f>+VOLUMES!J7+VOLUMES!J6+VOLUMES!J10+I43</f>
        <v>273601.0450033243</v>
      </c>
      <c r="K43" s="27">
        <f>+VOLUMES!K7+VOLUMES!K6+VOLUMES!K10+J43</f>
        <v>306286.5122493534</v>
      </c>
      <c r="L43" s="27">
        <f>+VOLUMES!L7+VOLUMES!L6+VOLUMES!L10+K43</f>
        <v>337223.8738204075</v>
      </c>
      <c r="M43" s="27">
        <f>+VOLUMES!M7+VOLUMES!M6+VOLUMES!M10+L43</f>
        <v>371877.79144481407</v>
      </c>
      <c r="N43" s="27">
        <f>+VOLUMES!N7+VOLUMES!N6+VOLUMES!N10+M43</f>
        <v>398467</v>
      </c>
      <c r="O43" s="27">
        <f>+VOLUMES!O7+VOLUMES!O6+VOLUMES!O10+N43</f>
        <v>398467.003</v>
      </c>
      <c r="P43" s="27">
        <f>+O43</f>
        <v>398467.003</v>
      </c>
    </row>
    <row r="44" spans="1:16" ht="15">
      <c r="A44" s="48">
        <f>ROW()</f>
        <v>44</v>
      </c>
      <c r="B44" s="170" t="s">
        <v>169</v>
      </c>
      <c r="C44" s="27">
        <f>+VOLUMES!C9+VOLUMES!C8+VOLUMES!C11</f>
        <v>69564.25900999998</v>
      </c>
      <c r="D44" s="27">
        <f>+VOLUMES!D9+VOLUMES!D8+VOLUMES!D11+C44</f>
        <v>126881.50700999997</v>
      </c>
      <c r="E44" s="27">
        <f>+VOLUMES!E9+VOLUMES!E8+VOLUMES!E11+D44</f>
        <v>167596.31801</v>
      </c>
      <c r="F44" s="27">
        <f>+VOLUMES!F9+VOLUMES!F8+VOLUMES!F11+E44</f>
        <v>253739.74800999998</v>
      </c>
      <c r="G44" s="27">
        <f>+VOLUMES!G9+VOLUMES!G8+VOLUMES!G11+F44</f>
        <v>362524.8032137565</v>
      </c>
      <c r="H44" s="27">
        <f>+VOLUMES!H9+VOLUMES!H8+VOLUMES!H11+G44</f>
        <v>466483.8758475281</v>
      </c>
      <c r="I44" s="27">
        <f>+VOLUMES!I9+VOLUMES!I8+VOLUMES!I11+H44</f>
        <v>557264.9309250778</v>
      </c>
      <c r="J44" s="27">
        <f>+VOLUMES!J9+VOLUMES!J8+VOLUMES!J11+I44</f>
        <v>624067.6117990531</v>
      </c>
      <c r="K44" s="27">
        <f>+VOLUMES!K9+VOLUMES!K8+VOLUMES!K11+J44</f>
        <v>683916.0041524532</v>
      </c>
      <c r="L44" s="27">
        <f>+VOLUMES!L9+VOLUMES!L8+VOLUMES!L11+K44</f>
        <v>738497.0351546478</v>
      </c>
      <c r="M44" s="27">
        <f>+VOLUMES!M9+VOLUMES!M8+VOLUMES!M11+L44</f>
        <v>790088.4273868568</v>
      </c>
      <c r="N44" s="27">
        <f>+VOLUMES!N9+VOLUMES!N8+VOLUMES!N11+M44</f>
        <v>829217.9999999999</v>
      </c>
      <c r="O44" s="27">
        <f>+VOLUMES!O9+VOLUMES!O8+VOLUMES!O11+N44</f>
        <v>829218.0029999999</v>
      </c>
      <c r="P44" s="27">
        <f>+O44</f>
        <v>829218.0029999999</v>
      </c>
    </row>
    <row r="45" ht="12.75">
      <c r="A45" s="48">
        <f>ROW()</f>
        <v>45</v>
      </c>
    </row>
    <row r="46" spans="1:16" ht="15.75" thickBot="1">
      <c r="A46" s="48">
        <f>ROW()</f>
        <v>46</v>
      </c>
      <c r="B46" s="5" t="s">
        <v>58</v>
      </c>
      <c r="C46" s="1"/>
      <c r="D46" s="1"/>
      <c r="E46" s="1"/>
      <c r="F46" s="1"/>
      <c r="G46" s="1"/>
      <c r="H46" s="1"/>
      <c r="I46" s="1"/>
      <c r="J46" s="1"/>
      <c r="K46" s="1"/>
      <c r="L46" s="1"/>
      <c r="M46" s="1"/>
      <c r="N46" s="1"/>
      <c r="O46" s="1"/>
      <c r="P46" s="1"/>
    </row>
    <row r="47" spans="1:16" ht="15">
      <c r="A47" s="48">
        <f>ROW()</f>
        <v>47</v>
      </c>
      <c r="B47" s="17" t="s">
        <v>18</v>
      </c>
      <c r="C47" s="25" t="s">
        <v>138</v>
      </c>
      <c r="D47" s="25" t="s">
        <v>139</v>
      </c>
      <c r="E47" s="25" t="s">
        <v>8</v>
      </c>
      <c r="F47" s="25" t="s">
        <v>9</v>
      </c>
      <c r="G47" s="25" t="s">
        <v>10</v>
      </c>
      <c r="H47" s="25" t="s">
        <v>11</v>
      </c>
      <c r="I47" s="25" t="s">
        <v>12</v>
      </c>
      <c r="J47" s="25" t="s">
        <v>13</v>
      </c>
      <c r="K47" s="25" t="s">
        <v>14</v>
      </c>
      <c r="L47" s="25" t="s">
        <v>15</v>
      </c>
      <c r="M47" s="25" t="s">
        <v>16</v>
      </c>
      <c r="N47" s="25" t="s">
        <v>17</v>
      </c>
      <c r="O47" s="25" t="s">
        <v>103</v>
      </c>
      <c r="P47" s="26" t="s">
        <v>5</v>
      </c>
    </row>
    <row r="48" spans="1:16" ht="15">
      <c r="A48" s="48">
        <f>ROW()</f>
        <v>48</v>
      </c>
      <c r="B48" s="8" t="s">
        <v>1</v>
      </c>
      <c r="C48" s="7">
        <f>+PREÇOS!D6</f>
        <v>69.03</v>
      </c>
      <c r="D48" s="7">
        <f>+PREÇOS!E6</f>
        <v>52.57</v>
      </c>
      <c r="E48" s="7">
        <f>+PREÇOS!F6</f>
        <v>60.9</v>
      </c>
      <c r="F48" s="7">
        <f>+PREÇOS!G6</f>
        <v>60.62</v>
      </c>
      <c r="G48" s="7">
        <f>+PREÇOS!H6</f>
        <v>0</v>
      </c>
      <c r="H48" s="7">
        <f>+PREÇOS!I6</f>
        <v>0</v>
      </c>
      <c r="I48" s="7">
        <f>+PREÇOS!J6</f>
        <v>0</v>
      </c>
      <c r="J48" s="7">
        <f>+PREÇOS!K6</f>
        <v>0</v>
      </c>
      <c r="K48" s="7">
        <f>+PREÇOS!L6</f>
        <v>0</v>
      </c>
      <c r="L48" s="7">
        <f>+PREÇOS!M6</f>
        <v>0</v>
      </c>
      <c r="M48" s="7">
        <f>+PREÇOS!N6</f>
        <v>0</v>
      </c>
      <c r="N48" s="7">
        <f>+PREÇOS!O6</f>
        <v>0</v>
      </c>
      <c r="O48" s="7">
        <f>+PREÇOS!P6</f>
        <v>62.283085699866504</v>
      </c>
      <c r="P48" s="7">
        <f>+P55</f>
        <v>62.283085699866504</v>
      </c>
    </row>
    <row r="49" spans="1:16" ht="15">
      <c r="A49" s="48">
        <f>ROW()</f>
        <v>49</v>
      </c>
      <c r="B49" s="8" t="s">
        <v>2</v>
      </c>
      <c r="C49" s="7">
        <f>+PREÇOS!D7</f>
        <v>57.43</v>
      </c>
      <c r="D49" s="7">
        <f>+PREÇOS!E7</f>
        <v>62.18</v>
      </c>
      <c r="E49" s="7">
        <f>+PREÇOS!F7</f>
        <v>68.72</v>
      </c>
      <c r="F49" s="7">
        <f>+PREÇOS!G7</f>
        <v>68.69</v>
      </c>
      <c r="G49" s="7">
        <f>+PREÇOS!H7</f>
        <v>71.72831069689903</v>
      </c>
      <c r="H49" s="7">
        <f>+PREÇOS!I7</f>
        <v>71.41754549782611</v>
      </c>
      <c r="I49" s="7">
        <f>+PREÇOS!J7</f>
        <v>71.10678029875316</v>
      </c>
      <c r="J49" s="7">
        <f>+PREÇOS!K7</f>
        <v>71.30813704871221</v>
      </c>
      <c r="K49" s="7">
        <f>+PREÇOS!L7</f>
        <v>71.50949379867126</v>
      </c>
      <c r="L49" s="7">
        <f>+PREÇOS!M7</f>
        <v>71.71085054863028</v>
      </c>
      <c r="M49" s="7">
        <f>+PREÇOS!N7</f>
        <v>71.91220729858934</v>
      </c>
      <c r="N49" s="7">
        <f>+PREÇOS!O7</f>
        <v>72.1135640485484</v>
      </c>
      <c r="O49" s="7">
        <f>+PREÇOS!P7</f>
        <v>70.2918948565264</v>
      </c>
      <c r="P49" s="7">
        <f>+P56</f>
        <v>70.2918948565264</v>
      </c>
    </row>
    <row r="50" spans="1:16" ht="15">
      <c r="A50" s="48">
        <f>ROW()</f>
        <v>50</v>
      </c>
      <c r="B50" s="170" t="s">
        <v>168</v>
      </c>
      <c r="C50" s="7">
        <f>PREÇOS!D14</f>
        <v>1660.6866412471336</v>
      </c>
      <c r="D50" s="7">
        <f>PREÇOS!E14</f>
        <v>1557.8080897826544</v>
      </c>
      <c r="E50" s="7">
        <f>PREÇOS!F14</f>
        <v>1799.6104551811532</v>
      </c>
      <c r="F50" s="7">
        <f>PREÇOS!G14</f>
        <v>1818.4164319027311</v>
      </c>
      <c r="G50" s="7">
        <f>PREÇOS!H14</f>
        <v>1790.3779354750136</v>
      </c>
      <c r="H50" s="7">
        <f>PREÇOS!I14</f>
        <v>1815.8144907590147</v>
      </c>
      <c r="I50" s="7">
        <f>PREÇOS!J14</f>
        <v>1862.5073951370132</v>
      </c>
      <c r="J50" s="7">
        <f>PREÇOS!K14</f>
        <v>1956.284738059883</v>
      </c>
      <c r="K50" s="7">
        <f>PREÇOS!L14</f>
        <v>1974.3269140871403</v>
      </c>
      <c r="L50" s="7">
        <f>PREÇOS!M14</f>
        <v>2003.1998839292032</v>
      </c>
      <c r="M50" s="7">
        <f>PREÇOS!N14</f>
        <v>2051.138148335963</v>
      </c>
      <c r="N50" s="7">
        <f>PREÇOS!O14</f>
        <v>2051.0823143627667</v>
      </c>
      <c r="O50" s="7">
        <f>PREÇOS!P14</f>
        <v>1850.564480356395</v>
      </c>
      <c r="P50" s="7">
        <f>+P57</f>
        <v>1864.9621053430285</v>
      </c>
    </row>
    <row r="51" spans="1:16" ht="15">
      <c r="A51" s="48">
        <f>ROW()</f>
        <v>51</v>
      </c>
      <c r="B51" s="170" t="s">
        <v>169</v>
      </c>
      <c r="C51" s="7">
        <f>PREÇOS!D15</f>
        <v>1380.050473319345</v>
      </c>
      <c r="D51" s="7">
        <f>PREÇOS!E15</f>
        <v>1395.4751341166973</v>
      </c>
      <c r="E51" s="7">
        <f>PREÇOS!F15</f>
        <v>1598.490898566126</v>
      </c>
      <c r="F51" s="7">
        <f>PREÇOS!G15</f>
        <v>1695.864023422796</v>
      </c>
      <c r="G51" s="7">
        <f>PREÇOS!H15</f>
        <v>1612.1138037636429</v>
      </c>
      <c r="H51" s="7">
        <f>PREÇOS!I15</f>
        <v>1640.6604527184336</v>
      </c>
      <c r="I51" s="7">
        <f>PREÇOS!J15</f>
        <v>1693.6044809086925</v>
      </c>
      <c r="J51" s="7">
        <f>PREÇOS!K15</f>
        <v>1742.4074072334063</v>
      </c>
      <c r="K51" s="7">
        <f>PREÇOS!L15</f>
        <v>1770.3986421312798</v>
      </c>
      <c r="L51" s="7">
        <f>PREÇOS!M15</f>
        <v>1796.23356363171</v>
      </c>
      <c r="M51" s="7">
        <f>PREÇOS!N15</f>
        <v>1841.5559303302964</v>
      </c>
      <c r="N51" s="7">
        <f>PREÇOS!O15</f>
        <v>1838.3304003543958</v>
      </c>
      <c r="O51" s="7">
        <f>PREÇOS!P15</f>
        <v>1719.1906610206224</v>
      </c>
      <c r="P51" s="7">
        <f>+P58</f>
        <v>1657.1929302604783</v>
      </c>
    </row>
    <row r="52" ht="12.75">
      <c r="A52" s="48">
        <f>ROW()</f>
        <v>52</v>
      </c>
    </row>
    <row r="53" spans="1:16" ht="15.75" thickBot="1">
      <c r="A53" s="48">
        <f>ROW()</f>
        <v>53</v>
      </c>
      <c r="B53" s="5" t="s">
        <v>55</v>
      </c>
      <c r="C53" s="1"/>
      <c r="D53" s="1"/>
      <c r="E53" s="1"/>
      <c r="F53" s="1"/>
      <c r="G53" s="1"/>
      <c r="H53" s="1"/>
      <c r="I53" s="1"/>
      <c r="J53" s="1"/>
      <c r="K53" s="1"/>
      <c r="L53" s="1"/>
      <c r="M53" s="1"/>
      <c r="N53" s="1"/>
      <c r="O53" s="1"/>
      <c r="P53" s="1"/>
    </row>
    <row r="54" spans="1:16" ht="15">
      <c r="A54" s="48">
        <f>ROW()</f>
        <v>54</v>
      </c>
      <c r="B54" s="17" t="s">
        <v>18</v>
      </c>
      <c r="C54" s="25" t="s">
        <v>138</v>
      </c>
      <c r="D54" s="25" t="s">
        <v>139</v>
      </c>
      <c r="E54" s="25" t="s">
        <v>8</v>
      </c>
      <c r="F54" s="25" t="s">
        <v>9</v>
      </c>
      <c r="G54" s="25" t="s">
        <v>10</v>
      </c>
      <c r="H54" s="25" t="s">
        <v>11</v>
      </c>
      <c r="I54" s="25" t="s">
        <v>12</v>
      </c>
      <c r="J54" s="25" t="s">
        <v>13</v>
      </c>
      <c r="K54" s="25" t="s">
        <v>14</v>
      </c>
      <c r="L54" s="25" t="s">
        <v>15</v>
      </c>
      <c r="M54" s="25" t="s">
        <v>16</v>
      </c>
      <c r="N54" s="25" t="s">
        <v>17</v>
      </c>
      <c r="O54" s="25" t="s">
        <v>103</v>
      </c>
      <c r="P54" s="26" t="s">
        <v>5</v>
      </c>
    </row>
    <row r="55" spans="1:16" ht="15">
      <c r="A55" s="48">
        <f>ROW()</f>
        <v>55</v>
      </c>
      <c r="B55" s="8" t="s">
        <v>1</v>
      </c>
      <c r="C55" s="7">
        <f>+C48*C34/C41</f>
        <v>69.03</v>
      </c>
      <c r="D55" s="7">
        <f>SUMPRODUCT($C48:D48,$C34:D34)/D41</f>
        <v>64.66033270277298</v>
      </c>
      <c r="E55" s="7">
        <f>SUMPRODUCT($C48:E48,$C34:E34)/E41</f>
        <v>63.166854494221475</v>
      </c>
      <c r="F55" s="7">
        <f>SUMPRODUCT($C48:F48,$C34:F34)/F41</f>
        <v>62.283085699866504</v>
      </c>
      <c r="G55" s="7">
        <f>SUMPRODUCT($C48:G48,$C34:G34)/G41</f>
        <v>62.283085699866504</v>
      </c>
      <c r="H55" s="7">
        <f>SUMPRODUCT($C48:H48,$C34:H34)/H41</f>
        <v>62.283085699866504</v>
      </c>
      <c r="I55" s="7">
        <f>SUMPRODUCT($C48:I48,$C34:I34)/I41</f>
        <v>62.283085699866504</v>
      </c>
      <c r="J55" s="7">
        <f>SUMPRODUCT($C48:J48,$C34:J34)/J41</f>
        <v>62.283085699866504</v>
      </c>
      <c r="K55" s="7">
        <f>SUMPRODUCT($C48:K48,$C34:K34)/K41</f>
        <v>62.283085699866504</v>
      </c>
      <c r="L55" s="7">
        <f>SUMPRODUCT($C48:L48,$C34:L34)/L41</f>
        <v>62.283085699866504</v>
      </c>
      <c r="M55" s="7">
        <f>SUMPRODUCT($C48:M48,$C34:M34)/M41</f>
        <v>62.283085699866504</v>
      </c>
      <c r="N55" s="7">
        <f>SUMPRODUCT($C48:N48,$C34:N34)/N41</f>
        <v>62.283085699866504</v>
      </c>
      <c r="O55" s="7">
        <f>SUMPRODUCT($C48:O48,$C34:O34)/O41</f>
        <v>62.283085699866504</v>
      </c>
      <c r="P55" s="7">
        <f>+O55</f>
        <v>62.283085699866504</v>
      </c>
    </row>
    <row r="56" spans="1:16" ht="15">
      <c r="A56" s="48">
        <f>ROW()</f>
        <v>56</v>
      </c>
      <c r="B56" s="8" t="s">
        <v>2</v>
      </c>
      <c r="C56" s="7">
        <f>+C49*C35/C42</f>
        <v>57.43000000000001</v>
      </c>
      <c r="D56" s="7">
        <f>SUMPRODUCT($C49:D49,$C35:D35)/D42</f>
        <v>61.29398160348598</v>
      </c>
      <c r="E56" s="7">
        <f>SUMPRODUCT($C49:E49,$C35:E35)/E42</f>
        <v>62.646430481340936</v>
      </c>
      <c r="F56" s="7">
        <f>SUMPRODUCT($C49:F49,$C35:F35)/F42</f>
        <v>64.8693724295975</v>
      </c>
      <c r="G56" s="7">
        <f>SUMPRODUCT($C49:G49,$C35:G35)/G42</f>
        <v>68.15733095802699</v>
      </c>
      <c r="H56" s="7">
        <f>SUMPRODUCT($C49:H49,$C35:H35)/H42</f>
        <v>69.13629404423483</v>
      </c>
      <c r="I56" s="7">
        <f>SUMPRODUCT($C49:I49,$C35:I35)/I42</f>
        <v>69.5202703346061</v>
      </c>
      <c r="J56" s="7">
        <f>SUMPRODUCT($C49:J49,$C35:J35)/J42</f>
        <v>69.80787826332097</v>
      </c>
      <c r="K56" s="7">
        <f>SUMPRODUCT($C49:K49,$C35:K35)/K42</f>
        <v>70.03616264110846</v>
      </c>
      <c r="L56" s="7">
        <f>SUMPRODUCT($C49:L49,$C35:L35)/L42</f>
        <v>70.16958219672006</v>
      </c>
      <c r="M56" s="7">
        <f>SUMPRODUCT($C49:M49,$C35:M35)/M42</f>
        <v>70.27620351027365</v>
      </c>
      <c r="N56" s="7">
        <f>SUMPRODUCT($C49:N49,$C35:N35)/N42</f>
        <v>70.2918948565264</v>
      </c>
      <c r="O56" s="7">
        <f>SUMPRODUCT($C49:O49,$C35:O35)/O42</f>
        <v>70.2918948565264</v>
      </c>
      <c r="P56" s="7">
        <f>+O56</f>
        <v>70.2918948565264</v>
      </c>
    </row>
    <row r="57" spans="1:16" ht="15">
      <c r="A57" s="48">
        <f>ROW()</f>
        <v>57</v>
      </c>
      <c r="B57" s="170" t="s">
        <v>168</v>
      </c>
      <c r="C57" s="7">
        <f>+C50*C36/C43</f>
        <v>1660.6866412471336</v>
      </c>
      <c r="D57" s="7">
        <f>SUMPRODUCT($C50:D50,$C36:D36)/D43</f>
        <v>1621.7922425281506</v>
      </c>
      <c r="E57" s="7">
        <f>SUMPRODUCT($C50:E50,$C36:E36)/E43</f>
        <v>1686.5444952956448</v>
      </c>
      <c r="F57" s="7">
        <f>SUMPRODUCT($C50:F50,$C36:F36)/F43</f>
        <v>1729.1517089066415</v>
      </c>
      <c r="G57" s="7">
        <f>SUMPRODUCT($C50:G50,$C36:G36)/G43</f>
        <v>1742.0830580036436</v>
      </c>
      <c r="H57" s="7">
        <f>SUMPRODUCT($C50:H50,$C36:H36)/H43</f>
        <v>1754.7577202192535</v>
      </c>
      <c r="I57" s="7">
        <f>SUMPRODUCT($C50:I50,$C36:I36)/I43</f>
        <v>1770.365280180187</v>
      </c>
      <c r="J57" s="7">
        <f>SUMPRODUCT($C50:J50,$C36:J36)/J43</f>
        <v>1794.597351140344</v>
      </c>
      <c r="K57" s="7">
        <f>SUMPRODUCT($C50:K50,$C36:K36)/K43</f>
        <v>1813.777251357622</v>
      </c>
      <c r="L57" s="7">
        <f>SUMPRODUCT($C50:L50,$C36:L36)/L43</f>
        <v>1831.1551327253237</v>
      </c>
      <c r="M57" s="7">
        <f>SUMPRODUCT($C50:M50,$C36:M36)/M43</f>
        <v>1851.654537306925</v>
      </c>
      <c r="N57" s="7">
        <f>SUMPRODUCT($C50:N50,$C36:N36)/N43</f>
        <v>1864.9621054514262</v>
      </c>
      <c r="O57" s="7">
        <f>SUMPRODUCT($C50:O50,$C36:O36)/O43</f>
        <v>1864.9621053430285</v>
      </c>
      <c r="P57" s="7">
        <f>+O57</f>
        <v>1864.9621053430285</v>
      </c>
    </row>
    <row r="58" spans="1:16" ht="15">
      <c r="A58" s="48">
        <f>ROW()</f>
        <v>58</v>
      </c>
      <c r="B58" s="170" t="s">
        <v>169</v>
      </c>
      <c r="C58" s="7">
        <f>+C51*C37/C44</f>
        <v>1380.050473319345</v>
      </c>
      <c r="D58" s="7">
        <f>SUMPRODUCT($C51:D51,$C37:D37)/D44</f>
        <v>1387.0183847910148</v>
      </c>
      <c r="E58" s="7">
        <f>SUMPRODUCT($C51:E51,$C37:E37)/E44</f>
        <v>1438.3922069148086</v>
      </c>
      <c r="F58" s="7">
        <f>SUMPRODUCT($C51:F51,$C37:F37)/F44</f>
        <v>1525.802656307446</v>
      </c>
      <c r="G58" s="7">
        <f>SUMPRODUCT($C51:G51,$C37:G37)/G44</f>
        <v>1551.7025750371051</v>
      </c>
      <c r="H58" s="7">
        <f>SUMPRODUCT($C51:H51,$C37:H37)/H44</f>
        <v>1571.5274370442157</v>
      </c>
      <c r="I58" s="7">
        <f>SUMPRODUCT($C51:I51,$C37:I37)/I44</f>
        <v>1591.414356582412</v>
      </c>
      <c r="J58" s="7">
        <f>SUMPRODUCT($C51:J51,$C37:J37)/J44</f>
        <v>1607.5772536565742</v>
      </c>
      <c r="K58" s="7">
        <f>SUMPRODUCT($C51:K51,$C37:K37)/K44</f>
        <v>1621.8254921563232</v>
      </c>
      <c r="L58" s="7">
        <f>SUMPRODUCT($C51:L51,$C37:L37)/L44</f>
        <v>1634.715689277071</v>
      </c>
      <c r="M58" s="7">
        <f>SUMPRODUCT($C51:M51,$C37:M37)/M44</f>
        <v>1648.2219951988975</v>
      </c>
      <c r="N58" s="7">
        <f>SUMPRODUCT($C51:N51,$C37:N37)/N44</f>
        <v>1657.1929300361787</v>
      </c>
      <c r="O58" s="7">
        <f>SUMPRODUCT($C51:O51,$C37:O37)/O44</f>
        <v>1657.1929302604783</v>
      </c>
      <c r="P58" s="7">
        <f>+O58</f>
        <v>1657.1929302604783</v>
      </c>
    </row>
  </sheetData>
  <sheetProtection/>
  <printOptions/>
  <pageMargins left="0.787401575" right="0.787401575" top="0.984251969" bottom="0.984251969" header="0.492125985" footer="0.492125985"/>
  <pageSetup orientation="portrait" paperSize="9"/>
</worksheet>
</file>

<file path=xl/worksheets/sheet8.xml><?xml version="1.0" encoding="utf-8"?>
<worksheet xmlns="http://schemas.openxmlformats.org/spreadsheetml/2006/main" xmlns:r="http://schemas.openxmlformats.org/officeDocument/2006/relationships">
  <dimension ref="A1:AD129"/>
  <sheetViews>
    <sheetView zoomScalePageLayoutView="0" workbookViewId="0" topLeftCell="A49">
      <pane xSplit="2" topLeftCell="C1" activePane="topRight" state="frozen"/>
      <selection pane="topLeft" activeCell="A3" sqref="A3"/>
      <selection pane="topRight" activeCell="C60" sqref="C60"/>
    </sheetView>
  </sheetViews>
  <sheetFormatPr defaultColWidth="9.140625" defaultRowHeight="12.75"/>
  <cols>
    <col min="1" max="1" width="3.140625" style="47" customWidth="1"/>
    <col min="2" max="2" width="22.140625" style="47" customWidth="1"/>
    <col min="3" max="15" width="10.8515625" style="47" customWidth="1"/>
    <col min="16" max="16" width="11.421875" style="47" bestFit="1" customWidth="1"/>
    <col min="17" max="17" width="9.8515625" style="47" bestFit="1" customWidth="1"/>
    <col min="18" max="19" width="9.8515625" style="47" customWidth="1"/>
    <col min="20" max="21" width="10.8515625" style="47" bestFit="1" customWidth="1"/>
    <col min="22" max="23" width="11.140625" style="47" customWidth="1"/>
    <col min="24" max="24" width="11.57421875" style="47" customWidth="1"/>
    <col min="25" max="26" width="10.57421875" style="47" bestFit="1" customWidth="1"/>
    <col min="27" max="27" width="10.57421875" style="47" customWidth="1"/>
    <col min="28" max="28" width="10.57421875" style="47" bestFit="1" customWidth="1"/>
    <col min="29" max="29" width="11.140625" style="47" bestFit="1" customWidth="1"/>
    <col min="30" max="30" width="10.57421875" style="47" bestFit="1" customWidth="1"/>
    <col min="31" max="16384" width="9.140625" style="47" customWidth="1"/>
  </cols>
  <sheetData>
    <row r="1" spans="2:29" s="31" customFormat="1" ht="12.75">
      <c r="B1" s="31" t="s">
        <v>49</v>
      </c>
      <c r="P1" s="95">
        <v>1</v>
      </c>
      <c r="Q1" s="285" t="s">
        <v>99</v>
      </c>
      <c r="R1" s="285"/>
      <c r="S1" s="285"/>
      <c r="T1" s="285"/>
      <c r="U1" s="285"/>
      <c r="V1" s="285"/>
      <c r="W1" s="285"/>
      <c r="X1" s="285"/>
      <c r="Y1" s="285"/>
      <c r="Z1" s="285"/>
      <c r="AA1" s="285"/>
      <c r="AB1" s="285"/>
      <c r="AC1" s="285"/>
    </row>
    <row r="2" spans="16:29" ht="12">
      <c r="P2" s="125">
        <v>2</v>
      </c>
      <c r="Q2" s="126">
        <v>4</v>
      </c>
      <c r="R2" s="126">
        <f>Q2+1</f>
        <v>5</v>
      </c>
      <c r="S2" s="126">
        <f aca="true" t="shared" si="0" ref="S2:AC2">R2+1</f>
        <v>6</v>
      </c>
      <c r="T2" s="126">
        <f t="shared" si="0"/>
        <v>7</v>
      </c>
      <c r="U2" s="126">
        <f t="shared" si="0"/>
        <v>8</v>
      </c>
      <c r="V2" s="126">
        <f t="shared" si="0"/>
        <v>9</v>
      </c>
      <c r="W2" s="126">
        <f t="shared" si="0"/>
        <v>10</v>
      </c>
      <c r="X2" s="126">
        <f t="shared" si="0"/>
        <v>11</v>
      </c>
      <c r="Y2" s="126">
        <f t="shared" si="0"/>
        <v>12</v>
      </c>
      <c r="Z2" s="126">
        <f t="shared" si="0"/>
        <v>13</v>
      </c>
      <c r="AA2" s="126">
        <f>Z2+1</f>
        <v>14</v>
      </c>
      <c r="AB2" s="126">
        <f>AA2+1</f>
        <v>15</v>
      </c>
      <c r="AC2" s="126">
        <f t="shared" si="0"/>
        <v>16</v>
      </c>
    </row>
    <row r="3" spans="3:29" ht="12">
      <c r="C3" s="127" t="s">
        <v>137</v>
      </c>
      <c r="D3" s="127" t="s">
        <v>30</v>
      </c>
      <c r="E3" s="127" t="s">
        <v>39</v>
      </c>
      <c r="F3" s="127" t="s">
        <v>40</v>
      </c>
      <c r="G3" s="127" t="s">
        <v>41</v>
      </c>
      <c r="H3" s="127" t="s">
        <v>42</v>
      </c>
      <c r="I3" s="127" t="s">
        <v>43</v>
      </c>
      <c r="J3" s="127" t="s">
        <v>44</v>
      </c>
      <c r="K3" s="127" t="s">
        <v>45</v>
      </c>
      <c r="L3" s="127" t="s">
        <v>46</v>
      </c>
      <c r="M3" s="127" t="s">
        <v>47</v>
      </c>
      <c r="N3" s="127" t="s">
        <v>48</v>
      </c>
      <c r="O3" s="127" t="s">
        <v>103</v>
      </c>
      <c r="P3" s="125">
        <v>3</v>
      </c>
      <c r="Q3" s="127" t="s">
        <v>137</v>
      </c>
      <c r="R3" s="127" t="s">
        <v>30</v>
      </c>
      <c r="S3" s="127" t="s">
        <v>39</v>
      </c>
      <c r="T3" s="127" t="s">
        <v>40</v>
      </c>
      <c r="U3" s="127" t="s">
        <v>41</v>
      </c>
      <c r="V3" s="127" t="s">
        <v>42</v>
      </c>
      <c r="W3" s="127" t="s">
        <v>43</v>
      </c>
      <c r="X3" s="127" t="s">
        <v>44</v>
      </c>
      <c r="Y3" s="127" t="s">
        <v>45</v>
      </c>
      <c r="Z3" s="127" t="s">
        <v>46</v>
      </c>
      <c r="AA3" s="127" t="s">
        <v>47</v>
      </c>
      <c r="AB3" s="127" t="s">
        <v>48</v>
      </c>
      <c r="AC3" s="127" t="s">
        <v>103</v>
      </c>
    </row>
    <row r="4" spans="1:30" ht="12">
      <c r="A4" s="125">
        <v>1</v>
      </c>
      <c r="B4" s="47" t="s">
        <v>80</v>
      </c>
      <c r="C4" s="128">
        <v>25180.081</v>
      </c>
      <c r="D4" s="128">
        <v>109811.907</v>
      </c>
      <c r="E4" s="128">
        <v>30059.714</v>
      </c>
      <c r="F4" s="128">
        <v>96031.436</v>
      </c>
      <c r="G4" s="128">
        <f>'PROD.'!$D14*VOLUMES!G60</f>
        <v>240390.75911626083</v>
      </c>
      <c r="H4" s="128">
        <f>'PROD.'!$D14*VOLUMES!H60</f>
        <v>215199.61475564446</v>
      </c>
      <c r="I4" s="128">
        <f>'PROD.'!$D14*VOLUMES!I60</f>
        <v>173453.45614886703</v>
      </c>
      <c r="J4" s="128">
        <f>'PROD.'!$D14*VOLUMES!J60</f>
        <v>170642.27589171944</v>
      </c>
      <c r="K4" s="128">
        <f>'PROD.'!$D14*VOLUMES!K60</f>
        <v>164360.22925303184</v>
      </c>
      <c r="L4" s="128">
        <f>'PROD.'!$D14*VOLUMES!L60</f>
        <v>106053.06316308919</v>
      </c>
      <c r="M4" s="128">
        <f>'PROD.'!$D14*VOLUMES!M60</f>
        <v>86755.56353636626</v>
      </c>
      <c r="N4" s="128">
        <f>'PROD.'!$D14*VOLUMES!N60</f>
        <v>12213.720135020909</v>
      </c>
      <c r="O4" s="128"/>
      <c r="P4" s="125">
        <v>4</v>
      </c>
      <c r="Q4" s="129">
        <f aca="true" t="shared" si="1" ref="Q4:Q11">+C4</f>
        <v>25180.081</v>
      </c>
      <c r="R4" s="129">
        <f aca="true" t="shared" si="2" ref="R4:R9">+D4+Q4</f>
        <v>134991.988</v>
      </c>
      <c r="S4" s="129">
        <f aca="true" t="shared" si="3" ref="R4:AC11">+E4+R4</f>
        <v>165051.70200000002</v>
      </c>
      <c r="T4" s="129">
        <f t="shared" si="3"/>
        <v>261083.13800000004</v>
      </c>
      <c r="U4" s="129">
        <f t="shared" si="3"/>
        <v>501473.89711626084</v>
      </c>
      <c r="V4" s="129">
        <f t="shared" si="3"/>
        <v>716673.5118719053</v>
      </c>
      <c r="W4" s="129">
        <f t="shared" si="3"/>
        <v>890126.9680207723</v>
      </c>
      <c r="X4" s="129">
        <f t="shared" si="3"/>
        <v>1060769.2439124917</v>
      </c>
      <c r="Y4" s="129">
        <f t="shared" si="3"/>
        <v>1225129.4731655235</v>
      </c>
      <c r="Z4" s="129">
        <f t="shared" si="3"/>
        <v>1331182.5363286126</v>
      </c>
      <c r="AA4" s="129">
        <f t="shared" si="3"/>
        <v>1417938.0998649788</v>
      </c>
      <c r="AB4" s="129">
        <f t="shared" si="3"/>
        <v>1430151.8199999998</v>
      </c>
      <c r="AC4" s="129">
        <f t="shared" si="3"/>
        <v>1430151.8199999998</v>
      </c>
      <c r="AD4" s="130">
        <f>+'PROD.'!D14</f>
        <v>1430151.82</v>
      </c>
    </row>
    <row r="5" spans="1:30" ht="12">
      <c r="A5" s="125">
        <v>2</v>
      </c>
      <c r="B5" s="47" t="s">
        <v>81</v>
      </c>
      <c r="C5" s="231">
        <v>6554.4</v>
      </c>
      <c r="D5" s="128">
        <v>2368.88</v>
      </c>
      <c r="E5" s="128">
        <v>5878.95</v>
      </c>
      <c r="F5" s="128">
        <v>7865.95</v>
      </c>
      <c r="G5" s="128">
        <f>'PROD.'!$D15*VOLUMES!G61</f>
        <v>0</v>
      </c>
      <c r="H5" s="128">
        <f>'PROD.'!$D15*VOLUMES!H61</f>
        <v>0</v>
      </c>
      <c r="I5" s="128">
        <f>'PROD.'!$D15*VOLUMES!I61</f>
        <v>0</v>
      </c>
      <c r="J5" s="128">
        <f>'PROD.'!$D15*VOLUMES!J61</f>
        <v>0</v>
      </c>
      <c r="K5" s="128">
        <f>'PROD.'!$D15*VOLUMES!K61</f>
        <v>0</v>
      </c>
      <c r="L5" s="128">
        <f>'PROD.'!$D15*VOLUMES!L61</f>
        <v>0</v>
      </c>
      <c r="M5" s="128">
        <f>'PROD.'!$D15*VOLUMES!M61</f>
        <v>0</v>
      </c>
      <c r="N5" s="128">
        <f>'PROD.'!$D15*VOLUMES!N61</f>
        <v>0</v>
      </c>
      <c r="O5" s="128"/>
      <c r="P5" s="125">
        <v>5</v>
      </c>
      <c r="Q5" s="129">
        <f t="shared" si="1"/>
        <v>6554.4</v>
      </c>
      <c r="R5" s="129">
        <f t="shared" si="2"/>
        <v>8923.279999999999</v>
      </c>
      <c r="S5" s="129">
        <f t="shared" si="3"/>
        <v>14802.23</v>
      </c>
      <c r="T5" s="129">
        <f t="shared" si="3"/>
        <v>22668.18</v>
      </c>
      <c r="U5" s="129">
        <f t="shared" si="3"/>
        <v>22668.18</v>
      </c>
      <c r="V5" s="129">
        <f t="shared" si="3"/>
        <v>22668.18</v>
      </c>
      <c r="W5" s="129">
        <f t="shared" si="3"/>
        <v>22668.18</v>
      </c>
      <c r="X5" s="129">
        <f t="shared" si="3"/>
        <v>22668.18</v>
      </c>
      <c r="Y5" s="129">
        <f t="shared" si="3"/>
        <v>22668.18</v>
      </c>
      <c r="Z5" s="129">
        <f t="shared" si="3"/>
        <v>22668.18</v>
      </c>
      <c r="AA5" s="129">
        <f t="shared" si="3"/>
        <v>22668.18</v>
      </c>
      <c r="AB5" s="129">
        <f t="shared" si="3"/>
        <v>22668.18</v>
      </c>
      <c r="AC5" s="129">
        <f t="shared" si="3"/>
        <v>22668.18</v>
      </c>
      <c r="AD5" s="130">
        <f>+'PROD.'!D15</f>
        <v>22668.18</v>
      </c>
    </row>
    <row r="6" spans="1:30" ht="12">
      <c r="A6" s="125">
        <v>3</v>
      </c>
      <c r="B6" s="169" t="s">
        <v>156</v>
      </c>
      <c r="C6" s="231">
        <v>1E-05</v>
      </c>
      <c r="D6" s="128">
        <v>0</v>
      </c>
      <c r="E6" s="128">
        <v>1139</v>
      </c>
      <c r="F6" s="128">
        <v>3323.1310000000003</v>
      </c>
      <c r="G6" s="128">
        <f>'PROD.'!$D16*VOLUMES!G62</f>
        <v>0</v>
      </c>
      <c r="H6" s="128">
        <f>'PROD.'!$D16*VOLUMES!H62</f>
        <v>0</v>
      </c>
      <c r="I6" s="128">
        <f>'PROD.'!$D16*VOLUMES!I62</f>
        <v>0</v>
      </c>
      <c r="J6" s="128">
        <f>'PROD.'!$D16*VOLUMES!J62</f>
        <v>0</v>
      </c>
      <c r="K6" s="128">
        <f>'PROD.'!$D16*VOLUMES!K62</f>
        <v>0</v>
      </c>
      <c r="L6" s="128">
        <f>'PROD.'!$D16*VOLUMES!L62</f>
        <v>0</v>
      </c>
      <c r="M6" s="128">
        <f>'PROD.'!$D16*VOLUMES!M62</f>
        <v>0</v>
      </c>
      <c r="N6" s="128">
        <f>'PROD.'!$D16*VOLUMES!N62</f>
        <v>0</v>
      </c>
      <c r="O6" s="128">
        <v>0.001</v>
      </c>
      <c r="P6" s="125">
        <v>6</v>
      </c>
      <c r="Q6" s="129">
        <f t="shared" si="1"/>
        <v>1E-05</v>
      </c>
      <c r="R6" s="129">
        <f t="shared" si="2"/>
        <v>1E-05</v>
      </c>
      <c r="S6" s="129">
        <f t="shared" si="3"/>
        <v>1139.00001</v>
      </c>
      <c r="T6" s="129">
        <f t="shared" si="3"/>
        <v>4462.13101</v>
      </c>
      <c r="U6" s="129">
        <f t="shared" si="3"/>
        <v>4462.13101</v>
      </c>
      <c r="V6" s="129">
        <f t="shared" si="3"/>
        <v>4462.13101</v>
      </c>
      <c r="W6" s="129">
        <f t="shared" si="3"/>
        <v>4462.13101</v>
      </c>
      <c r="X6" s="129">
        <f t="shared" si="3"/>
        <v>4462.13101</v>
      </c>
      <c r="Y6" s="129">
        <f t="shared" si="3"/>
        <v>4462.13101</v>
      </c>
      <c r="Z6" s="129">
        <f t="shared" si="3"/>
        <v>4462.13101</v>
      </c>
      <c r="AA6" s="129">
        <f t="shared" si="3"/>
        <v>4462.13101</v>
      </c>
      <c r="AB6" s="129">
        <f t="shared" si="3"/>
        <v>4462.13101</v>
      </c>
      <c r="AC6" s="129">
        <f t="shared" si="3"/>
        <v>4462.13201</v>
      </c>
      <c r="AD6" s="130">
        <f>+'PROD.'!D16</f>
        <v>4462.13101</v>
      </c>
    </row>
    <row r="7" spans="1:30" ht="12">
      <c r="A7" s="125">
        <v>4</v>
      </c>
      <c r="B7" s="169" t="s">
        <v>157</v>
      </c>
      <c r="C7" s="128">
        <v>35346.422</v>
      </c>
      <c r="D7" s="128">
        <f>21453.251+99</f>
        <v>21552.251</v>
      </c>
      <c r="E7" s="128">
        <f>31517.374+2</f>
        <v>31519.374</v>
      </c>
      <c r="F7" s="128">
        <f>472+38967.311</f>
        <v>39439.311</v>
      </c>
      <c r="G7" s="128">
        <f>'PROD.'!$D17*VOLUMES!G63</f>
        <v>35587.604538625936</v>
      </c>
      <c r="H7" s="128">
        <f>'PROD.'!$D17*VOLUMES!H63</f>
        <v>34978.000411111556</v>
      </c>
      <c r="I7" s="128">
        <f>'PROD.'!$D17*VOLUMES!I63</f>
        <v>34465.77855328368</v>
      </c>
      <c r="J7" s="128">
        <f>'PROD.'!$D17*VOLUMES!J63</f>
        <v>35660.17249030311</v>
      </c>
      <c r="K7" s="128">
        <f>'PROD.'!$D17*VOLUMES!K63</f>
        <v>32685.46724602914</v>
      </c>
      <c r="L7" s="128">
        <f>'PROD.'!$D17*VOLUMES!L63</f>
        <v>30937.36157105408</v>
      </c>
      <c r="M7" s="128">
        <f>'PROD.'!$D17*VOLUMES!M63</f>
        <v>34653.917624406546</v>
      </c>
      <c r="N7" s="128">
        <f>'PROD.'!$D17*VOLUMES!N63</f>
        <v>26589.208555185935</v>
      </c>
      <c r="O7" s="128">
        <v>0.001</v>
      </c>
      <c r="P7" s="125">
        <v>7</v>
      </c>
      <c r="Q7" s="129">
        <f t="shared" si="1"/>
        <v>35346.422</v>
      </c>
      <c r="R7" s="129">
        <f t="shared" si="2"/>
        <v>56898.672999999995</v>
      </c>
      <c r="S7" s="129">
        <f t="shared" si="3"/>
        <v>88418.04699999999</v>
      </c>
      <c r="T7" s="129">
        <f t="shared" si="3"/>
        <v>127857.358</v>
      </c>
      <c r="U7" s="129">
        <f t="shared" si="3"/>
        <v>163444.96253862593</v>
      </c>
      <c r="V7" s="129">
        <f t="shared" si="3"/>
        <v>198422.9629497375</v>
      </c>
      <c r="W7" s="129">
        <f t="shared" si="3"/>
        <v>232888.74150302119</v>
      </c>
      <c r="X7" s="129">
        <f t="shared" si="3"/>
        <v>268548.91399332427</v>
      </c>
      <c r="Y7" s="129">
        <f t="shared" si="3"/>
        <v>301234.3812393534</v>
      </c>
      <c r="Z7" s="129">
        <f t="shared" si="3"/>
        <v>332171.7428104075</v>
      </c>
      <c r="AA7" s="129">
        <f t="shared" si="3"/>
        <v>366825.66043481405</v>
      </c>
      <c r="AB7" s="129">
        <f t="shared" si="3"/>
        <v>393414.86899</v>
      </c>
      <c r="AC7" s="129">
        <f t="shared" si="3"/>
        <v>393414.86999</v>
      </c>
      <c r="AD7" s="130">
        <f>+'PROD.'!D17</f>
        <v>393414.86899</v>
      </c>
    </row>
    <row r="8" spans="1:30" ht="12">
      <c r="A8" s="125">
        <v>5</v>
      </c>
      <c r="B8" s="169" t="s">
        <v>159</v>
      </c>
      <c r="C8" s="231">
        <v>1E-05</v>
      </c>
      <c r="D8" s="128">
        <v>0</v>
      </c>
      <c r="E8" s="128">
        <v>817</v>
      </c>
      <c r="F8" s="128">
        <v>16621.915</v>
      </c>
      <c r="G8" s="128">
        <f>'PROD.'!$D18*VOLUMES!G64</f>
        <v>0</v>
      </c>
      <c r="H8" s="128">
        <f>'PROD.'!$D18*VOLUMES!H64</f>
        <v>0</v>
      </c>
      <c r="I8" s="128">
        <f>'PROD.'!$D18*VOLUMES!I64</f>
        <v>0</v>
      </c>
      <c r="J8" s="128">
        <f>'PROD.'!$D18*VOLUMES!J64</f>
        <v>0</v>
      </c>
      <c r="K8" s="128">
        <f>'PROD.'!$D18*VOLUMES!K64</f>
        <v>0</v>
      </c>
      <c r="L8" s="128">
        <f>'PROD.'!$D18*VOLUMES!L64</f>
        <v>0</v>
      </c>
      <c r="M8" s="128">
        <f>'PROD.'!$D18*VOLUMES!M64</f>
        <v>0</v>
      </c>
      <c r="N8" s="128">
        <f>'PROD.'!$D18*VOLUMES!N64</f>
        <v>0</v>
      </c>
      <c r="O8" s="128">
        <v>0.001</v>
      </c>
      <c r="P8" s="125">
        <v>8</v>
      </c>
      <c r="Q8" s="129">
        <f t="shared" si="1"/>
        <v>1E-05</v>
      </c>
      <c r="R8" s="129">
        <f t="shared" si="2"/>
        <v>1E-05</v>
      </c>
      <c r="S8" s="129">
        <f t="shared" si="3"/>
        <v>817.00001</v>
      </c>
      <c r="T8" s="129">
        <f t="shared" si="3"/>
        <v>17438.91501</v>
      </c>
      <c r="U8" s="129">
        <f t="shared" si="3"/>
        <v>17438.91501</v>
      </c>
      <c r="V8" s="129">
        <f t="shared" si="3"/>
        <v>17438.91501</v>
      </c>
      <c r="W8" s="129">
        <f t="shared" si="3"/>
        <v>17438.91501</v>
      </c>
      <c r="X8" s="129">
        <f t="shared" si="3"/>
        <v>17438.91501</v>
      </c>
      <c r="Y8" s="129">
        <f t="shared" si="3"/>
        <v>17438.91501</v>
      </c>
      <c r="Z8" s="129">
        <f t="shared" si="3"/>
        <v>17438.91501</v>
      </c>
      <c r="AA8" s="129">
        <f t="shared" si="3"/>
        <v>17438.91501</v>
      </c>
      <c r="AB8" s="129">
        <f t="shared" si="3"/>
        <v>17438.91501</v>
      </c>
      <c r="AC8" s="129">
        <f t="shared" si="3"/>
        <v>17438.91601</v>
      </c>
      <c r="AD8" s="130">
        <f>+'PROD.'!D19</f>
        <v>17438.91501</v>
      </c>
    </row>
    <row r="9" spans="1:30" ht="12">
      <c r="A9" s="125">
        <v>6</v>
      </c>
      <c r="B9" s="169" t="s">
        <v>160</v>
      </c>
      <c r="C9" s="128">
        <v>62296.78799999998</v>
      </c>
      <c r="D9" s="128">
        <f>45290.741+788</f>
        <v>46078.741</v>
      </c>
      <c r="E9" s="128">
        <f>32852.727+676</f>
        <v>33528.727</v>
      </c>
      <c r="F9" s="128">
        <f>965+66661.192</f>
        <v>67626.192</v>
      </c>
      <c r="G9" s="128">
        <f>'PROD.'!$D20*VOLUMES!G65</f>
        <v>108785.0552037565</v>
      </c>
      <c r="H9" s="128">
        <f>'PROD.'!$D20*VOLUMES!H65</f>
        <v>103959.07263377162</v>
      </c>
      <c r="I9" s="128">
        <f>'PROD.'!$D20*VOLUMES!I65</f>
        <v>90781.05507754967</v>
      </c>
      <c r="J9" s="128">
        <f>'PROD.'!$D20*VOLUMES!J65</f>
        <v>66802.68087397542</v>
      </c>
      <c r="K9" s="128">
        <f>'PROD.'!$D20*VOLUMES!K65</f>
        <v>59848.39235340002</v>
      </c>
      <c r="L9" s="128">
        <f>'PROD.'!$D20*VOLUMES!L65</f>
        <v>54581.03100219465</v>
      </c>
      <c r="M9" s="128">
        <f>'PROD.'!$D20*VOLUMES!M65</f>
        <v>51591.392232208986</v>
      </c>
      <c r="N9" s="128">
        <f>'PROD.'!$D20*VOLUMES!N65</f>
        <v>39129.57261314309</v>
      </c>
      <c r="O9" s="128">
        <v>0.001</v>
      </c>
      <c r="P9" s="125">
        <v>9</v>
      </c>
      <c r="Q9" s="129">
        <f t="shared" si="1"/>
        <v>62296.78799999998</v>
      </c>
      <c r="R9" s="129">
        <f t="shared" si="2"/>
        <v>108375.52899999998</v>
      </c>
      <c r="S9" s="129">
        <f t="shared" si="3"/>
        <v>141904.256</v>
      </c>
      <c r="T9" s="129">
        <f t="shared" si="3"/>
        <v>209530.44799999997</v>
      </c>
      <c r="U9" s="129">
        <f t="shared" si="3"/>
        <v>318315.50320375647</v>
      </c>
      <c r="V9" s="129">
        <f t="shared" si="3"/>
        <v>422274.5758375281</v>
      </c>
      <c r="W9" s="129">
        <f t="shared" si="3"/>
        <v>513055.63091507775</v>
      </c>
      <c r="X9" s="129">
        <f t="shared" si="3"/>
        <v>579858.3117890531</v>
      </c>
      <c r="Y9" s="129">
        <f t="shared" si="3"/>
        <v>639706.7041424531</v>
      </c>
      <c r="Z9" s="129">
        <f t="shared" si="3"/>
        <v>694287.7351446478</v>
      </c>
      <c r="AA9" s="129">
        <f t="shared" si="3"/>
        <v>745879.1273768567</v>
      </c>
      <c r="AB9" s="129">
        <f t="shared" si="3"/>
        <v>785008.6999899999</v>
      </c>
      <c r="AC9" s="129">
        <f t="shared" si="3"/>
        <v>785008.7009899999</v>
      </c>
      <c r="AD9" s="130">
        <f>+'PROD.'!D20</f>
        <v>785008.69999</v>
      </c>
    </row>
    <row r="10" spans="1:30" ht="12">
      <c r="A10" s="125">
        <v>0</v>
      </c>
      <c r="B10" s="169" t="s">
        <v>158</v>
      </c>
      <c r="C10" s="231">
        <v>232</v>
      </c>
      <c r="D10" s="128">
        <v>75</v>
      </c>
      <c r="E10" s="128">
        <v>103</v>
      </c>
      <c r="F10" s="128">
        <v>180</v>
      </c>
      <c r="G10" s="128"/>
      <c r="H10" s="128"/>
      <c r="I10" s="128"/>
      <c r="J10" s="238"/>
      <c r="K10" s="238"/>
      <c r="L10" s="238"/>
      <c r="M10" s="238"/>
      <c r="N10" s="128"/>
      <c r="O10" s="128">
        <v>0.001</v>
      </c>
      <c r="P10" s="125">
        <v>10</v>
      </c>
      <c r="Q10" s="129">
        <f t="shared" si="1"/>
        <v>232</v>
      </c>
      <c r="R10" s="129">
        <f aca="true" t="shared" si="4" ref="R10:AC10">+D10+Q10</f>
        <v>307</v>
      </c>
      <c r="S10" s="129">
        <f t="shared" si="4"/>
        <v>410</v>
      </c>
      <c r="T10" s="129">
        <f t="shared" si="4"/>
        <v>590</v>
      </c>
      <c r="U10" s="129">
        <f t="shared" si="4"/>
        <v>590</v>
      </c>
      <c r="V10" s="129">
        <f t="shared" si="4"/>
        <v>590</v>
      </c>
      <c r="W10" s="129">
        <f t="shared" si="4"/>
        <v>590</v>
      </c>
      <c r="X10" s="129">
        <f t="shared" si="4"/>
        <v>590</v>
      </c>
      <c r="Y10" s="129">
        <f t="shared" si="4"/>
        <v>590</v>
      </c>
      <c r="Z10" s="129">
        <f t="shared" si="4"/>
        <v>590</v>
      </c>
      <c r="AA10" s="129">
        <f t="shared" si="4"/>
        <v>590</v>
      </c>
      <c r="AB10" s="129">
        <f t="shared" si="4"/>
        <v>590</v>
      </c>
      <c r="AC10" s="129">
        <f t="shared" si="4"/>
        <v>590.001</v>
      </c>
      <c r="AD10" s="130">
        <f>+'PROD.'!D18</f>
        <v>590</v>
      </c>
    </row>
    <row r="11" spans="1:30" ht="12">
      <c r="A11" s="125">
        <v>8</v>
      </c>
      <c r="B11" s="169" t="s">
        <v>161</v>
      </c>
      <c r="C11" s="231">
        <v>7267.470999999999</v>
      </c>
      <c r="D11" s="128">
        <v>11238.507</v>
      </c>
      <c r="E11" s="128">
        <v>6369.084</v>
      </c>
      <c r="F11" s="128">
        <v>1895.323</v>
      </c>
      <c r="G11" s="128"/>
      <c r="H11" s="128"/>
      <c r="I11" s="128"/>
      <c r="J11" s="238"/>
      <c r="K11" s="238"/>
      <c r="L11" s="238"/>
      <c r="M11" s="238"/>
      <c r="N11" s="128"/>
      <c r="O11" s="128">
        <v>0.001</v>
      </c>
      <c r="P11" s="125">
        <v>11</v>
      </c>
      <c r="Q11" s="129">
        <f t="shared" si="1"/>
        <v>7267.470999999999</v>
      </c>
      <c r="R11" s="129">
        <f t="shared" si="3"/>
        <v>18505.978</v>
      </c>
      <c r="S11" s="129">
        <f t="shared" si="3"/>
        <v>24875.061999999998</v>
      </c>
      <c r="T11" s="129">
        <f t="shared" si="3"/>
        <v>26770.385</v>
      </c>
      <c r="U11" s="129">
        <f t="shared" si="3"/>
        <v>26770.385</v>
      </c>
      <c r="V11" s="129">
        <f t="shared" si="3"/>
        <v>26770.385</v>
      </c>
      <c r="W11" s="129">
        <f t="shared" si="3"/>
        <v>26770.385</v>
      </c>
      <c r="X11" s="129">
        <f t="shared" si="3"/>
        <v>26770.385</v>
      </c>
      <c r="Y11" s="129">
        <f t="shared" si="3"/>
        <v>26770.385</v>
      </c>
      <c r="Z11" s="129">
        <f t="shared" si="3"/>
        <v>26770.385</v>
      </c>
      <c r="AA11" s="129">
        <f t="shared" si="3"/>
        <v>26770.385</v>
      </c>
      <c r="AB11" s="129">
        <f t="shared" si="3"/>
        <v>26770.385</v>
      </c>
      <c r="AC11" s="129">
        <f t="shared" si="3"/>
        <v>26770.386</v>
      </c>
      <c r="AD11" s="130">
        <f>+'PROD.'!D21</f>
        <v>26770.385</v>
      </c>
    </row>
    <row r="12" spans="2:29" ht="12">
      <c r="B12" s="47" t="s">
        <v>38</v>
      </c>
      <c r="C12" s="131">
        <f>SUM(C7:C11)</f>
        <v>105142.68100999999</v>
      </c>
      <c r="D12" s="131">
        <f aca="true" t="shared" si="5" ref="D12:O12">SUM(D7:D11)</f>
        <v>78944.499</v>
      </c>
      <c r="E12" s="131">
        <f t="shared" si="5"/>
        <v>72337.185</v>
      </c>
      <c r="F12" s="131">
        <f t="shared" si="5"/>
        <v>125762.74100000001</v>
      </c>
      <c r="G12" s="131">
        <f t="shared" si="5"/>
        <v>144372.65974238244</v>
      </c>
      <c r="H12" s="131">
        <f t="shared" si="5"/>
        <v>138937.07304488317</v>
      </c>
      <c r="I12" s="131">
        <f t="shared" si="5"/>
        <v>125246.83363083334</v>
      </c>
      <c r="J12" s="131">
        <f t="shared" si="5"/>
        <v>102462.85336427853</v>
      </c>
      <c r="K12" s="131">
        <f t="shared" si="5"/>
        <v>92533.85959942915</v>
      </c>
      <c r="L12" s="131">
        <f t="shared" si="5"/>
        <v>85518.39257324873</v>
      </c>
      <c r="M12" s="131">
        <f t="shared" si="5"/>
        <v>86245.30985661552</v>
      </c>
      <c r="N12" s="131">
        <f t="shared" si="5"/>
        <v>65718.78116832903</v>
      </c>
      <c r="O12" s="131">
        <f t="shared" si="5"/>
        <v>0.005</v>
      </c>
      <c r="P12" s="125">
        <v>12</v>
      </c>
      <c r="AB12" s="129"/>
      <c r="AC12" s="129"/>
    </row>
    <row r="13" spans="3:29" ht="12">
      <c r="C13" s="131"/>
      <c r="D13" s="131"/>
      <c r="E13" s="131"/>
      <c r="F13" s="131"/>
      <c r="G13" s="131"/>
      <c r="H13" s="131"/>
      <c r="I13" s="131"/>
      <c r="J13" s="131"/>
      <c r="K13" s="131"/>
      <c r="L13" s="131"/>
      <c r="M13" s="131"/>
      <c r="N13" s="131"/>
      <c r="O13" s="131"/>
      <c r="P13" s="125">
        <v>13</v>
      </c>
      <c r="AB13" s="129"/>
      <c r="AC13" s="129"/>
    </row>
    <row r="14" ht="12.75">
      <c r="B14" s="31" t="s">
        <v>50</v>
      </c>
    </row>
    <row r="15" spans="2:19" ht="12">
      <c r="B15" s="47" t="s">
        <v>37</v>
      </c>
      <c r="C15" s="130">
        <f>+C4*'INDICES '!$J$4</f>
        <v>26320.738669299997</v>
      </c>
      <c r="D15" s="130">
        <f>+D4*'INDICES '!$J$4</f>
        <v>114786.38638709999</v>
      </c>
      <c r="E15" s="130">
        <f>+E4*'INDICES '!$J$4</f>
        <v>31421.419044199996</v>
      </c>
      <c r="F15" s="130">
        <f>+F4*'INDICES '!$J$4</f>
        <v>100381.6600508</v>
      </c>
      <c r="G15" s="130">
        <f>+G4*'INDICES '!$J$4</f>
        <v>251280.46050422743</v>
      </c>
      <c r="H15" s="130">
        <f>+H4*'INDICES '!$J$4</f>
        <v>224948.15730407514</v>
      </c>
      <c r="I15" s="130">
        <f>+I4*'INDICES '!$J$4</f>
        <v>181310.8977124107</v>
      </c>
      <c r="J15" s="130">
        <f>+J4*'INDICES '!$J$4</f>
        <v>178372.3709896143</v>
      </c>
      <c r="K15" s="130">
        <f>+K4*'INDICES '!$J$4</f>
        <v>171805.74763819415</v>
      </c>
      <c r="L15" s="130">
        <f>+L4*'INDICES '!$J$4</f>
        <v>110857.26692437712</v>
      </c>
      <c r="M15" s="130">
        <f>+M4*'INDICES '!$J$4</f>
        <v>90685.59056456364</v>
      </c>
      <c r="N15" s="130">
        <f>+N4*'INDICES '!$J$4</f>
        <v>12767.001657137354</v>
      </c>
      <c r="O15" s="130">
        <f>+O4*'INDICES '!$J$4</f>
        <v>0</v>
      </c>
      <c r="P15" s="129">
        <f>SUM(C15:O15)</f>
        <v>1494937.6974459998</v>
      </c>
      <c r="Q15" s="132">
        <f aca="true" t="shared" si="6" ref="Q15:Q25">P15/$P$23*100</f>
        <v>41.24513947760347</v>
      </c>
      <c r="R15" s="132"/>
      <c r="S15" s="132"/>
    </row>
    <row r="16" spans="2:19" ht="12">
      <c r="B16" s="169" t="s">
        <v>124</v>
      </c>
      <c r="C16" s="130">
        <f>+C5*'INDICES '!$J$3</f>
        <v>6878.8428</v>
      </c>
      <c r="D16" s="130">
        <f>+D5*'INDICES '!$J$3</f>
        <v>2486.1395600000005</v>
      </c>
      <c r="E16" s="130">
        <f>+E5*'INDICES '!$J$3</f>
        <v>6169.958025000001</v>
      </c>
      <c r="F16" s="130">
        <f>+F5*'INDICES '!$J$3</f>
        <v>8255.314525</v>
      </c>
      <c r="G16" s="130">
        <f>+G5*'INDICES '!$J$3</f>
        <v>0</v>
      </c>
      <c r="H16" s="130">
        <f>+H5*'INDICES '!$J$3</f>
        <v>0</v>
      </c>
      <c r="I16" s="130">
        <f>+I5*'INDICES '!$J$3</f>
        <v>0</v>
      </c>
      <c r="J16" s="130">
        <f>+J5*'INDICES '!$J$3</f>
        <v>0</v>
      </c>
      <c r="K16" s="130">
        <f>+K5*'INDICES '!$J$3</f>
        <v>0</v>
      </c>
      <c r="L16" s="130">
        <f>+L5*'INDICES '!$J$3</f>
        <v>0</v>
      </c>
      <c r="M16" s="130">
        <f>+M5*'INDICES '!$J$3</f>
        <v>0</v>
      </c>
      <c r="N16" s="130">
        <f>+N5*'INDICES '!$J$3</f>
        <v>0</v>
      </c>
      <c r="O16" s="130">
        <f>+O5*'INDICES '!$J$3</f>
        <v>0</v>
      </c>
      <c r="P16" s="129">
        <f aca="true" t="shared" si="7" ref="P16:P22">SUM(C16:O16)</f>
        <v>23790.254910000003</v>
      </c>
      <c r="Q16" s="132">
        <f t="shared" si="6"/>
        <v>0.6563700839486892</v>
      </c>
      <c r="R16" s="132"/>
      <c r="S16" s="132"/>
    </row>
    <row r="17" spans="2:19" ht="12">
      <c r="B17" s="169" t="s">
        <v>156</v>
      </c>
      <c r="C17" s="130">
        <f>C6*'INDICES '!$J$5</f>
        <v>1.7651E-05</v>
      </c>
      <c r="D17" s="130">
        <f>D6*'INDICES '!$J$5</f>
        <v>0</v>
      </c>
      <c r="E17" s="130">
        <f>E6*'INDICES '!$J$5</f>
        <v>2010.4488999999999</v>
      </c>
      <c r="F17" s="130">
        <f>F6*'INDICES '!$J$5</f>
        <v>5865.6585281</v>
      </c>
      <c r="G17" s="130">
        <f>G6*'INDICES '!$J$5</f>
        <v>0</v>
      </c>
      <c r="H17" s="130">
        <f>H6*'INDICES '!$J$5</f>
        <v>0</v>
      </c>
      <c r="I17" s="130">
        <f>I6*'INDICES '!$J$5</f>
        <v>0</v>
      </c>
      <c r="J17" s="130">
        <f>J6*'INDICES '!$J$5</f>
        <v>0</v>
      </c>
      <c r="K17" s="130">
        <f>K6*'INDICES '!$J$5</f>
        <v>0</v>
      </c>
      <c r="L17" s="130">
        <f>L6*'INDICES '!$J$5</f>
        <v>0</v>
      </c>
      <c r="M17" s="130">
        <f>M6*'INDICES '!$J$5</f>
        <v>0</v>
      </c>
      <c r="N17" s="130">
        <f>N6*'INDICES '!$J$5</f>
        <v>0</v>
      </c>
      <c r="O17" s="130">
        <f>O6*'INDICES '!$J$5</f>
        <v>0.0017651</v>
      </c>
      <c r="P17" s="129">
        <f t="shared" si="7"/>
        <v>7876.109210850999</v>
      </c>
      <c r="Q17" s="132">
        <f t="shared" si="6"/>
        <v>0.21730084370564293</v>
      </c>
      <c r="R17" s="132"/>
      <c r="S17" s="132"/>
    </row>
    <row r="18" spans="2:19" ht="12">
      <c r="B18" s="169" t="s">
        <v>157</v>
      </c>
      <c r="C18" s="130">
        <f>C7*'INDICES '!$J$5</f>
        <v>62389.96947219999</v>
      </c>
      <c r="D18" s="130">
        <f>D7*'INDICES '!$J$5</f>
        <v>38041.8782401</v>
      </c>
      <c r="E18" s="130">
        <f>E7*'INDICES '!$J$5</f>
        <v>55634.8470474</v>
      </c>
      <c r="F18" s="130">
        <f>F7*'INDICES '!$J$5</f>
        <v>69614.3278461</v>
      </c>
      <c r="G18" s="130">
        <f>G7*'INDICES '!$J$5</f>
        <v>62815.68077112864</v>
      </c>
      <c r="H18" s="130">
        <f>H7*'INDICES '!$J$5</f>
        <v>61739.668525653</v>
      </c>
      <c r="I18" s="130">
        <f>I7*'INDICES '!$J$5</f>
        <v>60835.54572440102</v>
      </c>
      <c r="J18" s="130">
        <f>J7*'INDICES '!$J$5</f>
        <v>62943.77046263402</v>
      </c>
      <c r="K18" s="130">
        <f>K7*'INDICES '!$J$5</f>
        <v>57693.11823596603</v>
      </c>
      <c r="L18" s="130">
        <f>L7*'INDICES '!$J$5</f>
        <v>54607.53690906755</v>
      </c>
      <c r="M18" s="130">
        <f>M7*'INDICES '!$J$5</f>
        <v>61167.62999883999</v>
      </c>
      <c r="N18" s="130">
        <f>N7*'INDICES '!$J$5</f>
        <v>46932.612020758694</v>
      </c>
      <c r="O18" s="130">
        <f>O7*'INDICES '!$J$5</f>
        <v>0.0017651</v>
      </c>
      <c r="P18" s="129">
        <f t="shared" si="7"/>
        <v>694416.5870193491</v>
      </c>
      <c r="Q18" s="132">
        <f t="shared" si="6"/>
        <v>19.158864637707758</v>
      </c>
      <c r="R18" s="132"/>
      <c r="S18" s="132"/>
    </row>
    <row r="19" spans="2:19" ht="12">
      <c r="B19" s="169" t="s">
        <v>158</v>
      </c>
      <c r="C19" s="220">
        <f>+C10*'INDICES '!$J$7</f>
        <v>409.5032</v>
      </c>
      <c r="D19" s="220">
        <f>+D10*'INDICES '!$J$7</f>
        <v>132.3825</v>
      </c>
      <c r="E19" s="220">
        <f>+E10*'INDICES '!$J$7</f>
        <v>181.8053</v>
      </c>
      <c r="F19" s="220">
        <f>+F10*'INDICES '!$J$7</f>
        <v>317.71799999999996</v>
      </c>
      <c r="G19" s="220">
        <f>+G10*'INDICES '!$J$7</f>
        <v>0</v>
      </c>
      <c r="H19" s="220">
        <f>+H10*'INDICES '!$J$7</f>
        <v>0</v>
      </c>
      <c r="I19" s="220">
        <f>+I10*'INDICES '!$J$7</f>
        <v>0</v>
      </c>
      <c r="J19" s="220">
        <f>+J10*'INDICES '!$J$7</f>
        <v>0</v>
      </c>
      <c r="K19" s="220">
        <f>+K10*'INDICES '!$J$7</f>
        <v>0</v>
      </c>
      <c r="L19" s="220">
        <f>+L10*'INDICES '!$J$7</f>
        <v>0</v>
      </c>
      <c r="M19" s="220">
        <f>+M10*'INDICES '!$J$7</f>
        <v>0</v>
      </c>
      <c r="N19" s="220">
        <f>+N10*'INDICES '!$J$7</f>
        <v>0</v>
      </c>
      <c r="O19" s="130">
        <f>+O10*'INDICES '!$J$7</f>
        <v>0.0017651</v>
      </c>
      <c r="P19" s="129">
        <f>SUM(C19:O19)</f>
        <v>1041.4107651000002</v>
      </c>
      <c r="Q19" s="132">
        <f t="shared" si="6"/>
        <v>0.028732389539316443</v>
      </c>
      <c r="R19" s="132"/>
      <c r="S19" s="132"/>
    </row>
    <row r="20" spans="2:19" ht="12">
      <c r="B20" s="169" t="s">
        <v>159</v>
      </c>
      <c r="C20" s="130">
        <f>C8*'INDICES '!$J$6</f>
        <v>1.6913000000000002E-05</v>
      </c>
      <c r="D20" s="130">
        <f>D8*'INDICES '!$J$6</f>
        <v>0</v>
      </c>
      <c r="E20" s="130">
        <f>E8*'INDICES '!$J$6</f>
        <v>1381.7921000000001</v>
      </c>
      <c r="F20" s="130">
        <f>F8*'INDICES '!$J$6</f>
        <v>28112.6448395</v>
      </c>
      <c r="G20" s="130">
        <f>G8*'INDICES '!$J$6</f>
        <v>0</v>
      </c>
      <c r="H20" s="130">
        <f>H8*'INDICES '!$J$6</f>
        <v>0</v>
      </c>
      <c r="I20" s="130">
        <f>I8*'INDICES '!$J$6</f>
        <v>0</v>
      </c>
      <c r="J20" s="130">
        <f>J8*'INDICES '!$J$6</f>
        <v>0</v>
      </c>
      <c r="K20" s="130">
        <f>K8*'INDICES '!$J$6</f>
        <v>0</v>
      </c>
      <c r="L20" s="130">
        <f>L8*'INDICES '!$J$6</f>
        <v>0</v>
      </c>
      <c r="M20" s="130">
        <f>M8*'INDICES '!$J$6</f>
        <v>0</v>
      </c>
      <c r="N20" s="130">
        <f>N8*'INDICES '!$J$6</f>
        <v>0</v>
      </c>
      <c r="O20" s="130">
        <f>O8*'INDICES '!$J$6</f>
        <v>0.0016913</v>
      </c>
      <c r="P20" s="129">
        <f t="shared" si="7"/>
        <v>29494.438647713</v>
      </c>
      <c r="Q20" s="132">
        <f t="shared" si="6"/>
        <v>0.8137477822098225</v>
      </c>
      <c r="R20" s="132"/>
      <c r="S20" s="132"/>
    </row>
    <row r="21" spans="2:19" ht="12">
      <c r="B21" s="169" t="s">
        <v>160</v>
      </c>
      <c r="C21" s="130">
        <f>C9*'INDICES '!$J$6</f>
        <v>105362.55754439997</v>
      </c>
      <c r="D21" s="130">
        <f>D9*'INDICES '!$J$6</f>
        <v>77932.9746533</v>
      </c>
      <c r="E21" s="130">
        <f>E9*'INDICES '!$J$6</f>
        <v>56707.1359751</v>
      </c>
      <c r="F21" s="130">
        <f>F9*'INDICES '!$J$6</f>
        <v>114376.17852959999</v>
      </c>
      <c r="G21" s="130">
        <f>G9*'INDICES '!$J$6</f>
        <v>183988.16386611338</v>
      </c>
      <c r="H21" s="130">
        <f>H9*'INDICES '!$J$6</f>
        <v>175825.97954549795</v>
      </c>
      <c r="I21" s="130">
        <f>I9*'INDICES '!$J$6</f>
        <v>153537.99845265975</v>
      </c>
      <c r="J21" s="130">
        <f>J9*'INDICES '!$J$6</f>
        <v>112983.37416215464</v>
      </c>
      <c r="K21" s="130">
        <f>K9*'INDICES '!$J$6</f>
        <v>101221.58598730546</v>
      </c>
      <c r="L21" s="130">
        <f>L9*'INDICES '!$J$6</f>
        <v>92312.89773401181</v>
      </c>
      <c r="M21" s="130">
        <f>M9*'INDICES '!$J$6</f>
        <v>87256.52168233506</v>
      </c>
      <c r="N21" s="130">
        <f>N9*'INDICES '!$J$6</f>
        <v>66179.84616060891</v>
      </c>
      <c r="O21" s="130">
        <f>O9*'INDICES '!$J$6</f>
        <v>0.0016913</v>
      </c>
      <c r="P21" s="129">
        <f t="shared" si="7"/>
        <v>1327685.2159843866</v>
      </c>
      <c r="Q21" s="132">
        <f t="shared" si="6"/>
        <v>36.630664949571376</v>
      </c>
      <c r="R21" s="132"/>
      <c r="S21" s="132"/>
    </row>
    <row r="22" spans="2:19" ht="12">
      <c r="B22" s="169" t="s">
        <v>161</v>
      </c>
      <c r="C22" s="130">
        <f>+C11*'INDICES '!$J$8</f>
        <v>12291.473702299998</v>
      </c>
      <c r="D22" s="130">
        <f>+D11*'INDICES '!$J$8</f>
        <v>19007.6868891</v>
      </c>
      <c r="E22" s="130">
        <f>+E11*'INDICES '!$J$8</f>
        <v>10772.0317692</v>
      </c>
      <c r="F22" s="130">
        <f>+F11*'INDICES '!$J$8</f>
        <v>3205.5597899000004</v>
      </c>
      <c r="G22" s="130">
        <f>+G11*'INDICES '!$J$8</f>
        <v>0</v>
      </c>
      <c r="H22" s="130">
        <f>+H11*'INDICES '!$J$8</f>
        <v>0</v>
      </c>
      <c r="I22" s="130">
        <f>+I11*'INDICES '!$J$8</f>
        <v>0</v>
      </c>
      <c r="J22" s="130">
        <f>+J11*'INDICES '!$J$8</f>
        <v>0</v>
      </c>
      <c r="K22" s="130">
        <f>+K11*'INDICES '!$J$8</f>
        <v>0</v>
      </c>
      <c r="L22" s="130">
        <f>+L11*'INDICES '!$J$8</f>
        <v>0</v>
      </c>
      <c r="M22" s="130">
        <f>+M11*'INDICES '!$J$8</f>
        <v>0</v>
      </c>
      <c r="N22" s="130">
        <f>+N11*'INDICES '!$J$8</f>
        <v>0</v>
      </c>
      <c r="O22" s="130">
        <f>+O11*'INDICES '!$J$8</f>
        <v>0.0016913</v>
      </c>
      <c r="P22" s="129">
        <f t="shared" si="7"/>
        <v>45276.7538418</v>
      </c>
      <c r="Q22" s="132">
        <f t="shared" si="6"/>
        <v>1.2491798357139334</v>
      </c>
      <c r="R22" s="132"/>
      <c r="S22" s="132"/>
    </row>
    <row r="23" spans="3:19" ht="12">
      <c r="C23" s="130"/>
      <c r="D23" s="130"/>
      <c r="E23" s="130"/>
      <c r="F23" s="130"/>
      <c r="G23" s="130"/>
      <c r="H23" s="130"/>
      <c r="I23" s="130"/>
      <c r="J23" s="130"/>
      <c r="K23" s="130"/>
      <c r="L23" s="130"/>
      <c r="M23" s="130"/>
      <c r="N23" s="130"/>
      <c r="O23" s="130"/>
      <c r="P23" s="129">
        <f>SUM(P15:P22)</f>
        <v>3624518.467825199</v>
      </c>
      <c r="Q23" s="132">
        <f t="shared" si="6"/>
        <v>100</v>
      </c>
      <c r="R23" s="132"/>
      <c r="S23" s="132"/>
    </row>
    <row r="24" spans="2:19" ht="12">
      <c r="B24" s="172" t="s">
        <v>162</v>
      </c>
      <c r="C24" s="130">
        <f>SUM(C17:C19)</f>
        <v>62799.47268985099</v>
      </c>
      <c r="D24" s="130">
        <f aca="true" t="shared" si="8" ref="D24:P24">SUM(D17:D19)</f>
        <v>38174.2607401</v>
      </c>
      <c r="E24" s="130">
        <f t="shared" si="8"/>
        <v>57827.1012474</v>
      </c>
      <c r="F24" s="130">
        <f t="shared" si="8"/>
        <v>75797.7043742</v>
      </c>
      <c r="G24" s="130">
        <f t="shared" si="8"/>
        <v>62815.68077112864</v>
      </c>
      <c r="H24" s="130">
        <f t="shared" si="8"/>
        <v>61739.668525653</v>
      </c>
      <c r="I24" s="130">
        <f t="shared" si="8"/>
        <v>60835.54572440102</v>
      </c>
      <c r="J24" s="130">
        <f t="shared" si="8"/>
        <v>62943.77046263402</v>
      </c>
      <c r="K24" s="130">
        <f t="shared" si="8"/>
        <v>57693.11823596603</v>
      </c>
      <c r="L24" s="130">
        <f t="shared" si="8"/>
        <v>54607.53690906755</v>
      </c>
      <c r="M24" s="130">
        <f t="shared" si="8"/>
        <v>61167.62999883999</v>
      </c>
      <c r="N24" s="130">
        <f t="shared" si="8"/>
        <v>46932.612020758694</v>
      </c>
      <c r="O24" s="130">
        <f t="shared" si="8"/>
        <v>0.005295299999999999</v>
      </c>
      <c r="P24" s="130">
        <f t="shared" si="8"/>
        <v>703334.1069953002</v>
      </c>
      <c r="Q24" s="132">
        <f t="shared" si="6"/>
        <v>19.40489787095272</v>
      </c>
      <c r="R24" s="132"/>
      <c r="S24" s="132"/>
    </row>
    <row r="25" spans="2:19" ht="12">
      <c r="B25" s="47" t="s">
        <v>163</v>
      </c>
      <c r="C25" s="130">
        <f>SUM(C20:C22)</f>
        <v>117654.03126361297</v>
      </c>
      <c r="D25" s="130">
        <f aca="true" t="shared" si="9" ref="D25:P25">SUM(D20:D22)</f>
        <v>96940.6615424</v>
      </c>
      <c r="E25" s="130">
        <f t="shared" si="9"/>
        <v>68860.9598443</v>
      </c>
      <c r="F25" s="130">
        <f t="shared" si="9"/>
        <v>145694.383159</v>
      </c>
      <c r="G25" s="130">
        <f t="shared" si="9"/>
        <v>183988.16386611338</v>
      </c>
      <c r="H25" s="130">
        <f t="shared" si="9"/>
        <v>175825.97954549795</v>
      </c>
      <c r="I25" s="130">
        <f t="shared" si="9"/>
        <v>153537.99845265975</v>
      </c>
      <c r="J25" s="130">
        <f t="shared" si="9"/>
        <v>112983.37416215464</v>
      </c>
      <c r="K25" s="130">
        <f t="shared" si="9"/>
        <v>101221.58598730546</v>
      </c>
      <c r="L25" s="130">
        <f t="shared" si="9"/>
        <v>92312.89773401181</v>
      </c>
      <c r="M25" s="130">
        <f t="shared" si="9"/>
        <v>87256.52168233506</v>
      </c>
      <c r="N25" s="130">
        <f t="shared" si="9"/>
        <v>66179.84616060891</v>
      </c>
      <c r="O25" s="130">
        <f t="shared" si="9"/>
        <v>0.0050739</v>
      </c>
      <c r="P25" s="130">
        <f t="shared" si="9"/>
        <v>1402456.4084738996</v>
      </c>
      <c r="Q25" s="132">
        <f t="shared" si="6"/>
        <v>38.69359256749513</v>
      </c>
      <c r="R25" s="132"/>
      <c r="S25" s="132"/>
    </row>
    <row r="27" spans="2:3" ht="12">
      <c r="B27" s="168" t="s">
        <v>181</v>
      </c>
      <c r="C27" s="168"/>
    </row>
    <row r="28" spans="2:15" ht="12">
      <c r="B28" s="47" t="s">
        <v>2</v>
      </c>
      <c r="C28" s="226">
        <v>0.019649753924302526</v>
      </c>
      <c r="D28" s="221">
        <v>0.06656129087827707</v>
      </c>
      <c r="E28" s="221">
        <v>0.08476716988410607</v>
      </c>
      <c r="F28" s="221">
        <v>0.10795855717970311</v>
      </c>
      <c r="G28" s="221">
        <v>0.14826924433703578</v>
      </c>
      <c r="H28" s="221">
        <v>0.13273174217986103</v>
      </c>
      <c r="I28" s="221">
        <v>0.10698336726996109</v>
      </c>
      <c r="J28" s="221">
        <v>0.10524947544335857</v>
      </c>
      <c r="K28" s="221">
        <v>0.10137480775050536</v>
      </c>
      <c r="L28" s="221">
        <v>0.06541186355343351</v>
      </c>
      <c r="M28" s="221">
        <v>0.0535094688949739</v>
      </c>
      <c r="N28" s="221">
        <v>0.0075332307349126075</v>
      </c>
      <c r="O28" s="165">
        <v>0.9999999999999998</v>
      </c>
    </row>
    <row r="29" spans="2:15" ht="12">
      <c r="B29" s="47" t="s">
        <v>1</v>
      </c>
      <c r="C29" s="226"/>
      <c r="D29" s="221"/>
      <c r="E29" s="221"/>
      <c r="F29" s="221"/>
      <c r="G29" s="221"/>
      <c r="H29" s="221"/>
      <c r="I29" s="221"/>
      <c r="J29" s="221"/>
      <c r="K29" s="221"/>
      <c r="L29" s="221"/>
      <c r="M29" s="221"/>
      <c r="N29" s="221"/>
      <c r="O29" s="165">
        <v>0</v>
      </c>
    </row>
    <row r="30" spans="2:15" ht="12">
      <c r="B30" s="47" t="s">
        <v>164</v>
      </c>
      <c r="C30" s="226"/>
      <c r="D30" s="221"/>
      <c r="E30" s="221"/>
      <c r="F30" s="221"/>
      <c r="G30" s="221"/>
      <c r="H30" s="221"/>
      <c r="I30" s="221"/>
      <c r="J30" s="221"/>
      <c r="K30" s="221"/>
      <c r="L30" s="221"/>
      <c r="M30" s="221"/>
      <c r="N30" s="221"/>
      <c r="O30" s="165">
        <v>0</v>
      </c>
    </row>
    <row r="31" spans="2:15" ht="12">
      <c r="B31" s="47" t="s">
        <v>165</v>
      </c>
      <c r="C31" s="226">
        <v>0.07553026548904217</v>
      </c>
      <c r="D31" s="221">
        <v>0.07795120839856778</v>
      </c>
      <c r="E31" s="221">
        <v>0.09915234062396897</v>
      </c>
      <c r="F31" s="221">
        <v>0.09118087482694241</v>
      </c>
      <c r="G31" s="221">
        <v>0.08793598948554304</v>
      </c>
      <c r="H31" s="221">
        <v>0.08642967449630949</v>
      </c>
      <c r="I31" s="221">
        <v>0.08516398841015192</v>
      </c>
      <c r="J31" s="221">
        <v>0.08811530289307364</v>
      </c>
      <c r="K31" s="221">
        <v>0.08076488826207061</v>
      </c>
      <c r="L31" s="221">
        <v>0.07644536734328049</v>
      </c>
      <c r="M31" s="221">
        <v>0.08562887486695527</v>
      </c>
      <c r="N31" s="221">
        <v>0.0657012011415371</v>
      </c>
      <c r="O31" s="165">
        <v>1</v>
      </c>
    </row>
    <row r="32" spans="2:15" ht="12">
      <c r="B32" s="47" t="s">
        <v>166</v>
      </c>
      <c r="C32" s="226"/>
      <c r="D32" s="221"/>
      <c r="E32" s="221"/>
      <c r="F32" s="221"/>
      <c r="G32" s="221"/>
      <c r="H32" s="221"/>
      <c r="I32" s="221"/>
      <c r="J32" s="221"/>
      <c r="K32" s="221"/>
      <c r="L32" s="221"/>
      <c r="M32" s="221"/>
      <c r="N32" s="221"/>
      <c r="O32" s="165">
        <v>0</v>
      </c>
    </row>
    <row r="33" spans="2:15" ht="12">
      <c r="B33" s="47" t="s">
        <v>167</v>
      </c>
      <c r="C33" s="226">
        <v>0.08238865681590692</v>
      </c>
      <c r="D33" s="221">
        <v>0.09872724462341878</v>
      </c>
      <c r="E33" s="221">
        <v>0.08861374616404331</v>
      </c>
      <c r="F33" s="221">
        <v>0.11345365786231776</v>
      </c>
      <c r="G33" s="221">
        <v>0.11659941533644883</v>
      </c>
      <c r="H33" s="221">
        <v>0.11142676781579286</v>
      </c>
      <c r="I33" s="221">
        <v>0.0973021333292731</v>
      </c>
      <c r="J33" s="221">
        <v>0.0716013198524712</v>
      </c>
      <c r="K33" s="221">
        <v>0.06414748371605244</v>
      </c>
      <c r="L33" s="221">
        <v>0.05850175183894855</v>
      </c>
      <c r="M33" s="221">
        <v>0.05529735825754538</v>
      </c>
      <c r="N33" s="221">
        <v>0.04194036837607869</v>
      </c>
      <c r="O33" s="165">
        <v>1</v>
      </c>
    </row>
    <row r="35" ht="12">
      <c r="B35" s="216">
        <v>43556</v>
      </c>
    </row>
    <row r="36" spans="2:15" ht="12">
      <c r="B36" s="47" t="s">
        <v>2</v>
      </c>
      <c r="C36" s="256">
        <f>C4/'PROD.'!D14</f>
        <v>0.01760657899942399</v>
      </c>
      <c r="D36" s="221">
        <f>((D28)/SUM($D28:$N28))*(1-$C36)</f>
        <v>0.06670001499917687</v>
      </c>
      <c r="E36" s="221">
        <f aca="true" t="shared" si="10" ref="E36:N36">((E28)/SUM($D28:$N28))*(1-$C36)</f>
        <v>0.08494383789892627</v>
      </c>
      <c r="F36" s="221">
        <f t="shared" si="10"/>
        <v>0.1081835596659943</v>
      </c>
      <c r="G36" s="221">
        <f t="shared" si="10"/>
        <v>0.14857826058815904</v>
      </c>
      <c r="H36" s="221">
        <f t="shared" si="10"/>
        <v>0.13300837585096983</v>
      </c>
      <c r="I36" s="221">
        <f t="shared" si="10"/>
        <v>0.10720633730824604</v>
      </c>
      <c r="J36" s="221">
        <f t="shared" si="10"/>
        <v>0.10546883178040353</v>
      </c>
      <c r="K36" s="221">
        <f t="shared" si="10"/>
        <v>0.10158608867521417</v>
      </c>
      <c r="L36" s="221">
        <f t="shared" si="10"/>
        <v>0.06554819208835422</v>
      </c>
      <c r="M36" s="221">
        <f t="shared" si="10"/>
        <v>0.0536209909813746</v>
      </c>
      <c r="N36" s="221">
        <f t="shared" si="10"/>
        <v>0.007548931163757161</v>
      </c>
      <c r="O36" s="165">
        <f aca="true" t="shared" si="11" ref="O36:O41">SUM(C36:N36)</f>
        <v>1</v>
      </c>
    </row>
    <row r="37" spans="2:15" ht="12">
      <c r="B37" s="47" t="s">
        <v>1</v>
      </c>
      <c r="C37" s="256"/>
      <c r="D37" s="221"/>
      <c r="E37" s="221"/>
      <c r="F37" s="221"/>
      <c r="G37" s="221"/>
      <c r="H37" s="221"/>
      <c r="I37" s="221"/>
      <c r="J37" s="221"/>
      <c r="K37" s="221"/>
      <c r="L37" s="221"/>
      <c r="M37" s="221"/>
      <c r="N37" s="221"/>
      <c r="O37" s="165"/>
    </row>
    <row r="38" spans="2:15" ht="12">
      <c r="B38" s="47" t="s">
        <v>164</v>
      </c>
      <c r="C38" s="256"/>
      <c r="D38" s="221"/>
      <c r="E38" s="221"/>
      <c r="F38" s="221"/>
      <c r="G38" s="221"/>
      <c r="H38" s="221"/>
      <c r="I38" s="221"/>
      <c r="J38" s="221"/>
      <c r="K38" s="221"/>
      <c r="L38" s="221"/>
      <c r="M38" s="221"/>
      <c r="N38" s="221"/>
      <c r="O38" s="165"/>
    </row>
    <row r="39" spans="2:15" ht="12">
      <c r="B39" s="47" t="s">
        <v>165</v>
      </c>
      <c r="C39" s="256">
        <f>C7/'PROD.'!D17</f>
        <v>0.08984516037928005</v>
      </c>
      <c r="D39" s="221">
        <f aca="true" t="shared" si="12" ref="D39:N39">((D31)/SUM($D31:$N31))*(1-$C39)</f>
        <v>0.07674417966685397</v>
      </c>
      <c r="E39" s="221">
        <f t="shared" si="12"/>
        <v>0.09761702479746018</v>
      </c>
      <c r="F39" s="221">
        <f t="shared" si="12"/>
        <v>0.08976899247181343</v>
      </c>
      <c r="G39" s="221">
        <f t="shared" si="12"/>
        <v>0.08657435227630275</v>
      </c>
      <c r="H39" s="221">
        <f t="shared" si="12"/>
        <v>0.08509136169099274</v>
      </c>
      <c r="I39" s="221">
        <f t="shared" si="12"/>
        <v>0.08384527401136033</v>
      </c>
      <c r="J39" s="221">
        <f t="shared" si="12"/>
        <v>0.08675088912091254</v>
      </c>
      <c r="K39" s="221">
        <f t="shared" si="12"/>
        <v>0.07951429134832518</v>
      </c>
      <c r="L39" s="221">
        <f t="shared" si="12"/>
        <v>0.07526165567690109</v>
      </c>
      <c r="M39" s="221">
        <f t="shared" si="12"/>
        <v>0.08430296197410726</v>
      </c>
      <c r="N39" s="221">
        <f t="shared" si="12"/>
        <v>0.06468385658569054</v>
      </c>
      <c r="O39" s="165">
        <f t="shared" si="11"/>
        <v>1</v>
      </c>
    </row>
    <row r="40" spans="2:15" ht="12">
      <c r="B40" s="47" t="s">
        <v>166</v>
      </c>
      <c r="C40" s="256"/>
      <c r="D40" s="221"/>
      <c r="E40" s="221"/>
      <c r="F40" s="221"/>
      <c r="G40" s="221"/>
      <c r="H40" s="221"/>
      <c r="I40" s="221"/>
      <c r="J40" s="221"/>
      <c r="K40" s="221"/>
      <c r="L40" s="221"/>
      <c r="M40" s="221"/>
      <c r="N40" s="221"/>
      <c r="O40" s="165"/>
    </row>
    <row r="41" spans="2:15" ht="12">
      <c r="B41" s="47" t="s">
        <v>167</v>
      </c>
      <c r="C41" s="256">
        <f>C9/'PROD.'!D20</f>
        <v>0.07935808609610767</v>
      </c>
      <c r="D41" s="221">
        <f aca="true" t="shared" si="13" ref="D41:N41">((D33)/SUM($D33:$N33))*(1-$C41)</f>
        <v>0.09905331884787387</v>
      </c>
      <c r="E41" s="221">
        <f t="shared" si="13"/>
        <v>0.08890641774286348</v>
      </c>
      <c r="F41" s="221">
        <f t="shared" si="13"/>
        <v>0.11382837016832974</v>
      </c>
      <c r="G41" s="221">
        <f t="shared" si="13"/>
        <v>0.11698451738272564</v>
      </c>
      <c r="H41" s="221">
        <f t="shared" si="13"/>
        <v>0.11179478575286446</v>
      </c>
      <c r="I41" s="221">
        <f t="shared" si="13"/>
        <v>0.09762350072673455</v>
      </c>
      <c r="J41" s="221">
        <f t="shared" si="13"/>
        <v>0.07183780315482519</v>
      </c>
      <c r="K41" s="221">
        <f t="shared" si="13"/>
        <v>0.06435934864840462</v>
      </c>
      <c r="L41" s="221">
        <f t="shared" si="13"/>
        <v>0.05869497016923734</v>
      </c>
      <c r="M41" s="221">
        <f t="shared" si="13"/>
        <v>0.055479993185492786</v>
      </c>
      <c r="N41" s="221">
        <f t="shared" si="13"/>
        <v>0.042078888124540775</v>
      </c>
      <c r="O41" s="165">
        <f t="shared" si="11"/>
        <v>1</v>
      </c>
    </row>
    <row r="43" ht="12">
      <c r="B43" s="216">
        <v>43586</v>
      </c>
    </row>
    <row r="44" spans="2:15" ht="12">
      <c r="B44" s="47" t="s">
        <v>2</v>
      </c>
      <c r="C44" s="256">
        <f>C4/'PROD.'!$D14</f>
        <v>0.01760657899942399</v>
      </c>
      <c r="D44" s="256">
        <f>D4/'PROD.'!$D14</f>
        <v>0.0767833914304287</v>
      </c>
      <c r="E44" s="221">
        <f>((E36)/SUM($E36:$N36))*(1-$C44-$D44)</f>
        <v>0.08400845855968835</v>
      </c>
      <c r="F44" s="221">
        <f aca="true" t="shared" si="14" ref="F44:N44">((F36)/SUM($E36:$N36))*(1-$C44-$D44)</f>
        <v>0.10699227058535266</v>
      </c>
      <c r="G44" s="221">
        <f t="shared" si="14"/>
        <v>0.14694215561984528</v>
      </c>
      <c r="H44" s="221">
        <f t="shared" si="14"/>
        <v>0.1315437223835267</v>
      </c>
      <c r="I44" s="221">
        <f t="shared" si="14"/>
        <v>0.10602580914476907</v>
      </c>
      <c r="J44" s="221">
        <f t="shared" si="14"/>
        <v>0.10430743657362777</v>
      </c>
      <c r="K44" s="221">
        <f t="shared" si="14"/>
        <v>0.10046744922059178</v>
      </c>
      <c r="L44" s="221">
        <f t="shared" si="14"/>
        <v>0.06482639253090074</v>
      </c>
      <c r="M44" s="221">
        <f t="shared" si="14"/>
        <v>0.053030530644827045</v>
      </c>
      <c r="N44" s="221">
        <f t="shared" si="14"/>
        <v>0.0074658043070178915</v>
      </c>
      <c r="O44" s="165">
        <f>SUM(C44:N44)</f>
        <v>1</v>
      </c>
    </row>
    <row r="45" spans="2:15" ht="12">
      <c r="B45" s="47" t="s">
        <v>1</v>
      </c>
      <c r="C45" s="256"/>
      <c r="D45" s="221"/>
      <c r="E45" s="221"/>
      <c r="F45" s="221"/>
      <c r="G45" s="221"/>
      <c r="H45" s="221"/>
      <c r="I45" s="221"/>
      <c r="J45" s="221"/>
      <c r="K45" s="221"/>
      <c r="L45" s="221"/>
      <c r="M45" s="221"/>
      <c r="N45" s="221"/>
      <c r="O45" s="165"/>
    </row>
    <row r="46" spans="2:15" ht="12">
      <c r="B46" s="47" t="s">
        <v>164</v>
      </c>
      <c r="C46" s="256"/>
      <c r="D46" s="221"/>
      <c r="E46" s="221"/>
      <c r="F46" s="221"/>
      <c r="G46" s="221"/>
      <c r="H46" s="221"/>
      <c r="I46" s="221"/>
      <c r="J46" s="221"/>
      <c r="K46" s="221"/>
      <c r="L46" s="221"/>
      <c r="M46" s="221"/>
      <c r="N46" s="221"/>
      <c r="O46" s="165"/>
    </row>
    <row r="47" spans="2:15" ht="12">
      <c r="B47" s="47" t="s">
        <v>165</v>
      </c>
      <c r="C47" s="256">
        <f>C7/'PROD.'!$D17</f>
        <v>0.08984516037928005</v>
      </c>
      <c r="D47" s="256">
        <f>D7/'PROD.'!$D17</f>
        <v>0.05478250238820492</v>
      </c>
      <c r="E47" s="221">
        <f>((E39)/SUM($E39:$N39))*(1-$C47-$D47)</f>
        <v>0.10018938641762756</v>
      </c>
      <c r="F47" s="221">
        <f aca="true" t="shared" si="15" ref="F47:N47">((F39)/SUM($E39:$N39))*(1-$C47-$D47)</f>
        <v>0.0921345461382431</v>
      </c>
      <c r="G47" s="221">
        <f t="shared" si="15"/>
        <v>0.08885572216591452</v>
      </c>
      <c r="H47" s="221">
        <f t="shared" si="15"/>
        <v>0.08733365245406244</v>
      </c>
      <c r="I47" s="221">
        <f t="shared" si="15"/>
        <v>0.08605472841080287</v>
      </c>
      <c r="J47" s="221">
        <f t="shared" si="15"/>
        <v>0.08903691103310503</v>
      </c>
      <c r="K47" s="221">
        <f t="shared" si="15"/>
        <v>0.08160961756568967</v>
      </c>
      <c r="L47" s="221">
        <f t="shared" si="15"/>
        <v>0.07724491827822706</v>
      </c>
      <c r="M47" s="221">
        <f t="shared" si="15"/>
        <v>0.08652447716880377</v>
      </c>
      <c r="N47" s="221">
        <f t="shared" si="15"/>
        <v>0.06638837760003896</v>
      </c>
      <c r="O47" s="165">
        <f>SUM(C47:N47)</f>
        <v>1</v>
      </c>
    </row>
    <row r="48" spans="2:15" ht="12">
      <c r="B48" s="47" t="s">
        <v>166</v>
      </c>
      <c r="C48" s="256"/>
      <c r="D48" s="221"/>
      <c r="E48" s="221"/>
      <c r="F48" s="221"/>
      <c r="G48" s="221"/>
      <c r="H48" s="221"/>
      <c r="I48" s="221"/>
      <c r="J48" s="221"/>
      <c r="K48" s="221"/>
      <c r="L48" s="221"/>
      <c r="M48" s="221"/>
      <c r="N48" s="221"/>
      <c r="O48" s="165"/>
    </row>
    <row r="49" spans="2:15" ht="12">
      <c r="B49" s="47" t="s">
        <v>167</v>
      </c>
      <c r="C49" s="256">
        <f>C9/'PROD.'!$D20</f>
        <v>0.07935808609610767</v>
      </c>
      <c r="D49" s="256">
        <f>D9/'PROD.'!$D20</f>
        <v>0.05869838257918286</v>
      </c>
      <c r="E49" s="221">
        <f>((E41)/SUM($E41:$N41))*(1-$C49-$D49)</f>
        <v>0.09327333914790836</v>
      </c>
      <c r="F49" s="221">
        <f aca="true" t="shared" si="16" ref="F49:N49">((F41)/SUM($E41:$N41))*(1-$C49-$D49)</f>
        <v>0.11941941251160705</v>
      </c>
      <c r="G49" s="221">
        <f t="shared" si="16"/>
        <v>0.1227305839321056</v>
      </c>
      <c r="H49" s="221">
        <f t="shared" si="16"/>
        <v>0.11728594213134512</v>
      </c>
      <c r="I49" s="221">
        <f t="shared" si="16"/>
        <v>0.10241858938042414</v>
      </c>
      <c r="J49" s="221">
        <f t="shared" si="16"/>
        <v>0.0753663452809462</v>
      </c>
      <c r="K49" s="221">
        <f t="shared" si="16"/>
        <v>0.0675205627020439</v>
      </c>
      <c r="L49" s="221">
        <f t="shared" si="16"/>
        <v>0.061577960262729076</v>
      </c>
      <c r="M49" s="221">
        <f t="shared" si="16"/>
        <v>0.05820506946169806</v>
      </c>
      <c r="N49" s="221">
        <f t="shared" si="16"/>
        <v>0.04414572651390211</v>
      </c>
      <c r="O49" s="165">
        <f>SUM(C49:N49)</f>
        <v>1</v>
      </c>
    </row>
    <row r="51" ht="12">
      <c r="B51" s="215">
        <v>43617</v>
      </c>
    </row>
    <row r="52" spans="2:18" ht="12">
      <c r="B52" s="47" t="s">
        <v>2</v>
      </c>
      <c r="C52" s="256">
        <f>C4/'PROD.'!$D14</f>
        <v>0.01760657899942399</v>
      </c>
      <c r="D52" s="256">
        <f>D4/'PROD.'!$D14</f>
        <v>0.0767833914304287</v>
      </c>
      <c r="E52" s="256">
        <f>E4/'PROD.'!$D14</f>
        <v>0.021018547527352726</v>
      </c>
      <c r="F52" s="221">
        <f>((F44)/SUM($F44:$N44))*(1-$C52-$D52-$E52)</f>
        <v>0.11519507087580286</v>
      </c>
      <c r="G52" s="221">
        <f aca="true" t="shared" si="17" ref="G52:N52">((G44)/SUM($F44:$N44))*(1-$C52-$D52-$E52)</f>
        <v>0.15820780266335105</v>
      </c>
      <c r="H52" s="221">
        <f t="shared" si="17"/>
        <v>0.14162881430905705</v>
      </c>
      <c r="I52" s="221">
        <f t="shared" si="17"/>
        <v>0.11415451352023256</v>
      </c>
      <c r="J52" s="221">
        <f t="shared" si="17"/>
        <v>0.11230439809562585</v>
      </c>
      <c r="K52" s="221">
        <f t="shared" si="17"/>
        <v>0.10817000957508047</v>
      </c>
      <c r="L52" s="221">
        <f t="shared" si="17"/>
        <v>0.0697964520368078</v>
      </c>
      <c r="M52" s="221">
        <f t="shared" si="17"/>
        <v>0.05709623417458901</v>
      </c>
      <c r="N52" s="221">
        <f t="shared" si="17"/>
        <v>0.008038186792247947</v>
      </c>
      <c r="O52" s="165">
        <f>SUM(C52:N52)</f>
        <v>1</v>
      </c>
      <c r="P52" s="221"/>
      <c r="Q52" s="221"/>
      <c r="R52" s="165"/>
    </row>
    <row r="53" spans="2:18" ht="12">
      <c r="B53" s="47" t="s">
        <v>1</v>
      </c>
      <c r="C53" s="256"/>
      <c r="D53" s="221"/>
      <c r="E53" s="221"/>
      <c r="F53" s="221"/>
      <c r="G53" s="221"/>
      <c r="H53" s="221"/>
      <c r="I53" s="221"/>
      <c r="J53" s="221"/>
      <c r="K53" s="221"/>
      <c r="L53" s="221"/>
      <c r="M53" s="221"/>
      <c r="N53" s="221"/>
      <c r="O53" s="165"/>
      <c r="P53" s="221"/>
      <c r="Q53" s="221"/>
      <c r="R53" s="165"/>
    </row>
    <row r="54" spans="2:18" ht="12">
      <c r="B54" s="47" t="s">
        <v>164</v>
      </c>
      <c r="C54" s="256"/>
      <c r="D54" s="221"/>
      <c r="E54" s="221"/>
      <c r="F54" s="221"/>
      <c r="G54" s="221"/>
      <c r="H54" s="221"/>
      <c r="I54" s="221"/>
      <c r="J54" s="221"/>
      <c r="K54" s="221"/>
      <c r="L54" s="221"/>
      <c r="M54" s="221"/>
      <c r="N54" s="221"/>
      <c r="O54" s="165"/>
      <c r="P54" s="221"/>
      <c r="Q54" s="221"/>
      <c r="R54" s="165"/>
    </row>
    <row r="55" spans="2:18" ht="12">
      <c r="B55" s="47" t="s">
        <v>165</v>
      </c>
      <c r="C55" s="256">
        <f>C7/'PROD.'!$D17</f>
        <v>0.08984516037928005</v>
      </c>
      <c r="D55" s="256">
        <f>D7/'PROD.'!$D17</f>
        <v>0.05478250238820492</v>
      </c>
      <c r="E55" s="256">
        <f>E7/'PROD.'!$D17</f>
        <v>0.08011739383648252</v>
      </c>
      <c r="F55" s="221">
        <f>((F47)/SUM($F47:$N47))*(1-$C55-$D55-$E55)</f>
        <v>0.09458338840164227</v>
      </c>
      <c r="G55" s="221">
        <f aca="true" t="shared" si="18" ref="G55:N55">((G47)/SUM($F47:$N47))*(1-$C55-$D55-$E55)</f>
        <v>0.09121741663237729</v>
      </c>
      <c r="H55" s="221">
        <f t="shared" si="18"/>
        <v>0.08965489186002454</v>
      </c>
      <c r="I55" s="221">
        <f t="shared" si="18"/>
        <v>0.08834197532013822</v>
      </c>
      <c r="J55" s="221">
        <f t="shared" si="18"/>
        <v>0.09140342131485349</v>
      </c>
      <c r="K55" s="221">
        <f t="shared" si="18"/>
        <v>0.0837787179625684</v>
      </c>
      <c r="L55" s="221">
        <f t="shared" si="18"/>
        <v>0.07929800941983546</v>
      </c>
      <c r="M55" s="221">
        <f t="shared" si="18"/>
        <v>0.08882420952100488</v>
      </c>
      <c r="N55" s="221">
        <f t="shared" si="18"/>
        <v>0.0681529129635881</v>
      </c>
      <c r="O55" s="165">
        <f>SUM(C55:N55)</f>
        <v>1</v>
      </c>
      <c r="P55" s="221"/>
      <c r="Q55" s="221"/>
      <c r="R55" s="165"/>
    </row>
    <row r="56" spans="2:18" ht="12">
      <c r="B56" s="47" t="s">
        <v>166</v>
      </c>
      <c r="C56" s="256"/>
      <c r="D56" s="221"/>
      <c r="E56" s="221"/>
      <c r="F56" s="221"/>
      <c r="G56" s="221"/>
      <c r="H56" s="221"/>
      <c r="I56" s="221"/>
      <c r="J56" s="221"/>
      <c r="K56" s="221"/>
      <c r="L56" s="221"/>
      <c r="M56" s="221"/>
      <c r="N56" s="221"/>
      <c r="O56" s="165"/>
      <c r="P56" s="221"/>
      <c r="Q56" s="221"/>
      <c r="R56" s="165"/>
    </row>
    <row r="57" spans="2:18" ht="12">
      <c r="B57" s="47" t="s">
        <v>167</v>
      </c>
      <c r="C57" s="256">
        <f>C9/'PROD.'!$D20</f>
        <v>0.07935808609610767</v>
      </c>
      <c r="D57" s="256">
        <f>D9/'PROD.'!$D20</f>
        <v>0.05869838257918286</v>
      </c>
      <c r="E57" s="256">
        <f>E9/'PROD.'!$D20</f>
        <v>0.042711280779980036</v>
      </c>
      <c r="F57" s="221">
        <f>((F49)/SUM($F49:$N49))*(1-$C57-$D57-$E57)</f>
        <v>0.1272746557188092</v>
      </c>
      <c r="G57" s="221">
        <f aca="true" t="shared" si="19" ref="G57:N57">((G49)/SUM($F49:$N49))*(1-$C57-$D57-$E57)</f>
        <v>0.1308036313996178</v>
      </c>
      <c r="H57" s="221">
        <f t="shared" si="19"/>
        <v>0.12500084861807736</v>
      </c>
      <c r="I57" s="221">
        <f t="shared" si="19"/>
        <v>0.10915554203829796</v>
      </c>
      <c r="J57" s="221">
        <f t="shared" si="19"/>
        <v>0.0803238388690365</v>
      </c>
      <c r="K57" s="221">
        <f t="shared" si="19"/>
        <v>0.07196197160162414</v>
      </c>
      <c r="L57" s="221">
        <f t="shared" si="19"/>
        <v>0.06562847302186824</v>
      </c>
      <c r="M57" s="221">
        <f t="shared" si="19"/>
        <v>0.062033718145338944</v>
      </c>
      <c r="N57" s="221">
        <f t="shared" si="19"/>
        <v>0.04704957113205938</v>
      </c>
      <c r="O57" s="165">
        <f>SUM(C57:N57)</f>
        <v>1</v>
      </c>
      <c r="P57" s="221"/>
      <c r="Q57" s="221"/>
      <c r="R57" s="165"/>
    </row>
    <row r="58" spans="5:16" ht="12">
      <c r="E58" s="129"/>
      <c r="F58" s="129"/>
      <c r="G58" s="129"/>
      <c r="H58" s="129"/>
      <c r="I58" s="129"/>
      <c r="J58" s="129"/>
      <c r="K58" s="129"/>
      <c r="L58" s="129"/>
      <c r="M58" s="129"/>
      <c r="N58" s="129"/>
      <c r="O58" s="129"/>
      <c r="P58" s="129"/>
    </row>
    <row r="59" spans="2:16" ht="12">
      <c r="B59" s="215">
        <v>43647</v>
      </c>
      <c r="E59" s="129"/>
      <c r="F59" s="129"/>
      <c r="G59" s="129"/>
      <c r="H59" s="129"/>
      <c r="I59" s="129"/>
      <c r="J59" s="129"/>
      <c r="K59" s="129"/>
      <c r="L59" s="129"/>
      <c r="M59" s="129"/>
      <c r="N59" s="129"/>
      <c r="O59" s="129"/>
      <c r="P59" s="129"/>
    </row>
    <row r="60" spans="2:15" ht="12">
      <c r="B60" s="47" t="s">
        <v>2</v>
      </c>
      <c r="C60" s="256">
        <f>C4/'PROD.'!$D14</f>
        <v>0.01760657899942399</v>
      </c>
      <c r="D60" s="256">
        <f>D4/'PROD.'!$D14</f>
        <v>0.0767833914304287</v>
      </c>
      <c r="E60" s="256">
        <f>E4/'PROD.'!$D14</f>
        <v>0.021018547527352726</v>
      </c>
      <c r="F60" s="256">
        <f>F4/'PROD.'!$D14</f>
        <v>0.067147721421632</v>
      </c>
      <c r="G60" s="221">
        <f>((G52)/SUM($G52:$N52))*(1-$C60-$D60-$E60-$F60)</f>
        <v>0.16808758046139521</v>
      </c>
      <c r="H60" s="221">
        <f aca="true" t="shared" si="20" ref="H60:N60">((H52)/SUM($G52:$N52))*(1-$C60-$D60-$E60-$F60)</f>
        <v>0.15047326566744812</v>
      </c>
      <c r="I60" s="221">
        <f t="shared" si="20"/>
        <v>0.12128324680163469</v>
      </c>
      <c r="J60" s="221">
        <f t="shared" si="20"/>
        <v>0.1193175951709235</v>
      </c>
      <c r="K60" s="221">
        <f t="shared" si="20"/>
        <v>0.11492502191343001</v>
      </c>
      <c r="L60" s="221">
        <f t="shared" si="20"/>
        <v>0.07415510834583225</v>
      </c>
      <c r="M60" s="221">
        <f t="shared" si="20"/>
        <v>0.060661785918900736</v>
      </c>
      <c r="N60" s="221">
        <f t="shared" si="20"/>
        <v>0.008540156341597991</v>
      </c>
      <c r="O60" s="165">
        <f>SUM(C60:N60)</f>
        <v>1</v>
      </c>
    </row>
    <row r="61" spans="2:15" ht="12">
      <c r="B61" s="47" t="s">
        <v>1</v>
      </c>
      <c r="C61" s="256"/>
      <c r="D61" s="221"/>
      <c r="E61" s="221"/>
      <c r="F61" s="221"/>
      <c r="G61" s="221"/>
      <c r="H61" s="221"/>
      <c r="I61" s="221"/>
      <c r="J61" s="221"/>
      <c r="K61" s="221"/>
      <c r="L61" s="221"/>
      <c r="M61" s="221"/>
      <c r="N61" s="221"/>
      <c r="O61" s="165"/>
    </row>
    <row r="62" spans="2:15" ht="12">
      <c r="B62" s="47" t="s">
        <v>164</v>
      </c>
      <c r="C62" s="256"/>
      <c r="D62" s="221"/>
      <c r="E62" s="221"/>
      <c r="F62" s="221"/>
      <c r="G62" s="221"/>
      <c r="H62" s="221"/>
      <c r="I62" s="221"/>
      <c r="J62" s="221"/>
      <c r="K62" s="221"/>
      <c r="L62" s="221"/>
      <c r="M62" s="221"/>
      <c r="N62" s="221"/>
      <c r="O62" s="165"/>
    </row>
    <row r="63" spans="2:15" ht="12">
      <c r="B63" s="47" t="s">
        <v>165</v>
      </c>
      <c r="C63" s="256">
        <f>C7/'PROD.'!$D17</f>
        <v>0.08984516037928005</v>
      </c>
      <c r="D63" s="256">
        <f>D7/'PROD.'!$D17</f>
        <v>0.05478250238820492</v>
      </c>
      <c r="E63" s="256">
        <f>E7/'PROD.'!$D17</f>
        <v>0.08011739383648252</v>
      </c>
      <c r="F63" s="256">
        <f>F7/'PROD.'!$D17</f>
        <v>0.10024865379707468</v>
      </c>
      <c r="G63" s="221">
        <f>((G55)/SUM($G55:$N55))*(1-$C63-$D63-$E63-$F63)</f>
        <v>0.09045820924356196</v>
      </c>
      <c r="H63" s="221">
        <f aca="true" t="shared" si="21" ref="H63:N63">((H55)/SUM($G55:$N55))*(1-$C63-$D63-$E63-$F63)</f>
        <v>0.08890868944762899</v>
      </c>
      <c r="I63" s="221">
        <f t="shared" si="21"/>
        <v>0.08760670038162627</v>
      </c>
      <c r="J63" s="221">
        <f t="shared" si="21"/>
        <v>0.09064266579921651</v>
      </c>
      <c r="K63" s="221">
        <f t="shared" si="21"/>
        <v>0.08308142325667908</v>
      </c>
      <c r="L63" s="221">
        <f t="shared" si="21"/>
        <v>0.07863800788841172</v>
      </c>
      <c r="M63" s="221">
        <f t="shared" si="21"/>
        <v>0.08808492092170364</v>
      </c>
      <c r="N63" s="221">
        <f t="shared" si="21"/>
        <v>0.06758567266012966</v>
      </c>
      <c r="O63" s="165">
        <f>SUM(C63:N63)</f>
        <v>1</v>
      </c>
    </row>
    <row r="64" spans="2:15" ht="12">
      <c r="B64" s="47" t="s">
        <v>166</v>
      </c>
      <c r="C64" s="256"/>
      <c r="D64" s="221"/>
      <c r="E64" s="221"/>
      <c r="F64" s="221"/>
      <c r="G64" s="221"/>
      <c r="H64" s="221"/>
      <c r="I64" s="221"/>
      <c r="J64" s="221"/>
      <c r="K64" s="221"/>
      <c r="L64" s="221"/>
      <c r="M64" s="221"/>
      <c r="N64" s="221"/>
      <c r="O64" s="165"/>
    </row>
    <row r="65" spans="2:15" ht="12">
      <c r="B65" s="47" t="s">
        <v>167</v>
      </c>
      <c r="C65" s="256">
        <f>C9/'PROD.'!$D20</f>
        <v>0.07935808609610767</v>
      </c>
      <c r="D65" s="256">
        <f>D9/'PROD.'!$D20</f>
        <v>0.05869838257918286</v>
      </c>
      <c r="E65" s="256">
        <f>E9/'PROD.'!$D20</f>
        <v>0.042711280779980036</v>
      </c>
      <c r="F65" s="256">
        <f>F9/'PROD.'!$D20</f>
        <v>0.08614706053685961</v>
      </c>
      <c r="G65" s="221">
        <f>((G57)/SUM($G57:$N57))*(1-$C65-$D65-$E65-$F65)</f>
        <v>0.13857815232511728</v>
      </c>
      <c r="H65" s="221">
        <f aca="true" t="shared" si="22" ref="H65:N65">((H57)/SUM($G57:$N57))*(1-$C65-$D65-$E65-$F65)</f>
        <v>0.13243047196177052</v>
      </c>
      <c r="I65" s="221">
        <f t="shared" si="22"/>
        <v>0.11564337449853243</v>
      </c>
      <c r="J65" s="221">
        <f t="shared" si="22"/>
        <v>0.08509801340396152</v>
      </c>
      <c r="K65" s="221">
        <f t="shared" si="22"/>
        <v>0.07623914531668555</v>
      </c>
      <c r="L65" s="221">
        <f t="shared" si="22"/>
        <v>0.06952920522140703</v>
      </c>
      <c r="M65" s="221">
        <f t="shared" si="22"/>
        <v>0.06572079039743915</v>
      </c>
      <c r="N65" s="221">
        <f t="shared" si="22"/>
        <v>0.049846036882956274</v>
      </c>
      <c r="O65" s="165">
        <f>SUM(C65:N65)</f>
        <v>1</v>
      </c>
    </row>
    <row r="67" ht="12">
      <c r="B67" s="216">
        <v>43678</v>
      </c>
    </row>
    <row r="68" spans="2:15" ht="12">
      <c r="B68" s="47" t="s">
        <v>2</v>
      </c>
      <c r="C68" s="226"/>
      <c r="D68" s="221"/>
      <c r="E68" s="221"/>
      <c r="F68" s="221"/>
      <c r="G68" s="221"/>
      <c r="H68" s="221"/>
      <c r="I68" s="221"/>
      <c r="J68" s="221"/>
      <c r="K68" s="221"/>
      <c r="L68" s="221"/>
      <c r="M68" s="221"/>
      <c r="N68" s="221"/>
      <c r="O68" s="165"/>
    </row>
    <row r="69" spans="2:15" ht="12">
      <c r="B69" s="47" t="s">
        <v>1</v>
      </c>
      <c r="C69" s="226"/>
      <c r="D69" s="221"/>
      <c r="E69" s="221"/>
      <c r="F69" s="221"/>
      <c r="G69" s="221"/>
      <c r="H69" s="221"/>
      <c r="I69" s="221"/>
      <c r="J69" s="221"/>
      <c r="K69" s="221"/>
      <c r="L69" s="221"/>
      <c r="M69" s="221"/>
      <c r="N69" s="221"/>
      <c r="O69" s="165"/>
    </row>
    <row r="70" spans="2:15" ht="12">
      <c r="B70" s="47" t="s">
        <v>164</v>
      </c>
      <c r="C70" s="226"/>
      <c r="D70" s="221"/>
      <c r="E70" s="221"/>
      <c r="F70" s="221"/>
      <c r="G70" s="221"/>
      <c r="H70" s="221"/>
      <c r="I70" s="221"/>
      <c r="J70" s="221"/>
      <c r="K70" s="221"/>
      <c r="L70" s="221"/>
      <c r="M70" s="221"/>
      <c r="N70" s="221"/>
      <c r="O70" s="165"/>
    </row>
    <row r="71" spans="2:15" ht="12">
      <c r="B71" s="47" t="s">
        <v>165</v>
      </c>
      <c r="C71" s="226"/>
      <c r="D71" s="221"/>
      <c r="E71" s="221"/>
      <c r="F71" s="221"/>
      <c r="G71" s="221"/>
      <c r="H71" s="221"/>
      <c r="I71" s="221"/>
      <c r="J71" s="221"/>
      <c r="K71" s="221"/>
      <c r="L71" s="221"/>
      <c r="M71" s="221"/>
      <c r="N71" s="221"/>
      <c r="O71" s="165"/>
    </row>
    <row r="72" spans="2:15" ht="12">
      <c r="B72" s="47" t="s">
        <v>166</v>
      </c>
      <c r="C72" s="226"/>
      <c r="D72" s="221"/>
      <c r="E72" s="221"/>
      <c r="F72" s="221"/>
      <c r="G72" s="221"/>
      <c r="H72" s="221"/>
      <c r="I72" s="221"/>
      <c r="J72" s="221"/>
      <c r="K72" s="221"/>
      <c r="L72" s="221"/>
      <c r="M72" s="221"/>
      <c r="N72" s="221"/>
      <c r="O72" s="165"/>
    </row>
    <row r="73" spans="2:15" ht="12">
      <c r="B73" s="47" t="s">
        <v>167</v>
      </c>
      <c r="C73" s="226"/>
      <c r="D73" s="221"/>
      <c r="E73" s="221"/>
      <c r="F73" s="221"/>
      <c r="G73" s="221"/>
      <c r="H73" s="221"/>
      <c r="I73" s="221"/>
      <c r="J73" s="221"/>
      <c r="K73" s="221"/>
      <c r="L73" s="221"/>
      <c r="M73" s="221"/>
      <c r="N73" s="221"/>
      <c r="O73" s="165"/>
    </row>
    <row r="75" ht="12">
      <c r="B75" s="216">
        <v>43709</v>
      </c>
    </row>
    <row r="76" spans="2:15" ht="12">
      <c r="B76" s="47" t="s">
        <v>2</v>
      </c>
      <c r="C76" s="226"/>
      <c r="D76" s="221"/>
      <c r="E76" s="221"/>
      <c r="F76" s="221"/>
      <c r="G76" s="221"/>
      <c r="H76" s="221"/>
      <c r="I76" s="221"/>
      <c r="J76" s="221"/>
      <c r="K76" s="221"/>
      <c r="L76" s="221"/>
      <c r="M76" s="221"/>
      <c r="N76" s="221"/>
      <c r="O76" s="165"/>
    </row>
    <row r="77" spans="2:15" ht="12">
      <c r="B77" s="47" t="s">
        <v>1</v>
      </c>
      <c r="C77" s="226"/>
      <c r="D77" s="221"/>
      <c r="E77" s="221"/>
      <c r="F77" s="221"/>
      <c r="G77" s="221"/>
      <c r="H77" s="221"/>
      <c r="I77" s="221"/>
      <c r="J77" s="221"/>
      <c r="K77" s="221"/>
      <c r="L77" s="221"/>
      <c r="M77" s="221"/>
      <c r="N77" s="221"/>
      <c r="O77" s="165"/>
    </row>
    <row r="78" spans="2:15" ht="12">
      <c r="B78" s="47" t="s">
        <v>164</v>
      </c>
      <c r="C78" s="226"/>
      <c r="D78" s="221"/>
      <c r="E78" s="221"/>
      <c r="F78" s="221"/>
      <c r="G78" s="221"/>
      <c r="H78" s="221"/>
      <c r="I78" s="221"/>
      <c r="J78" s="221"/>
      <c r="K78" s="221"/>
      <c r="L78" s="221"/>
      <c r="M78" s="221"/>
      <c r="N78" s="221"/>
      <c r="O78" s="165"/>
    </row>
    <row r="79" spans="2:15" ht="12">
      <c r="B79" s="47" t="s">
        <v>165</v>
      </c>
      <c r="C79" s="226"/>
      <c r="D79" s="221"/>
      <c r="E79" s="221"/>
      <c r="F79" s="221"/>
      <c r="G79" s="221"/>
      <c r="H79" s="221"/>
      <c r="I79" s="221"/>
      <c r="J79" s="221"/>
      <c r="K79" s="221"/>
      <c r="L79" s="221"/>
      <c r="M79" s="221"/>
      <c r="N79" s="221"/>
      <c r="O79" s="165"/>
    </row>
    <row r="80" spans="2:15" ht="12">
      <c r="B80" s="47" t="s">
        <v>166</v>
      </c>
      <c r="C80" s="226"/>
      <c r="D80" s="221"/>
      <c r="E80" s="221"/>
      <c r="F80" s="221"/>
      <c r="G80" s="221"/>
      <c r="H80" s="221"/>
      <c r="I80" s="221"/>
      <c r="J80" s="221"/>
      <c r="K80" s="221"/>
      <c r="L80" s="221"/>
      <c r="M80" s="221"/>
      <c r="N80" s="221"/>
      <c r="O80" s="165"/>
    </row>
    <row r="81" spans="2:15" ht="12">
      <c r="B81" s="47" t="s">
        <v>167</v>
      </c>
      <c r="C81" s="226"/>
      <c r="D81" s="221"/>
      <c r="E81" s="221"/>
      <c r="F81" s="221"/>
      <c r="G81" s="221"/>
      <c r="H81" s="221"/>
      <c r="I81" s="221"/>
      <c r="J81" s="221"/>
      <c r="K81" s="221"/>
      <c r="L81" s="221"/>
      <c r="M81" s="221"/>
      <c r="N81" s="221"/>
      <c r="O81" s="165"/>
    </row>
    <row r="83" ht="12">
      <c r="B83" s="216">
        <v>43739</v>
      </c>
    </row>
    <row r="84" spans="2:15" ht="12">
      <c r="B84" s="47" t="s">
        <v>2</v>
      </c>
      <c r="C84" s="226"/>
      <c r="D84" s="221"/>
      <c r="E84" s="221"/>
      <c r="F84" s="221"/>
      <c r="G84" s="221"/>
      <c r="H84" s="221"/>
      <c r="I84" s="221"/>
      <c r="J84" s="221"/>
      <c r="K84" s="221"/>
      <c r="L84" s="221"/>
      <c r="M84" s="221"/>
      <c r="N84" s="221"/>
      <c r="O84" s="165"/>
    </row>
    <row r="85" spans="2:15" ht="12">
      <c r="B85" s="47" t="s">
        <v>1</v>
      </c>
      <c r="C85" s="226"/>
      <c r="D85" s="221"/>
      <c r="E85" s="221"/>
      <c r="F85" s="221"/>
      <c r="G85" s="221"/>
      <c r="H85" s="221"/>
      <c r="I85" s="221"/>
      <c r="J85" s="221"/>
      <c r="K85" s="221"/>
      <c r="L85" s="221"/>
      <c r="M85" s="221"/>
      <c r="N85" s="221"/>
      <c r="O85" s="165"/>
    </row>
    <row r="86" spans="2:15" ht="12">
      <c r="B86" s="47" t="s">
        <v>164</v>
      </c>
      <c r="C86" s="226"/>
      <c r="D86" s="221"/>
      <c r="E86" s="221"/>
      <c r="F86" s="221"/>
      <c r="G86" s="221"/>
      <c r="H86" s="221"/>
      <c r="I86" s="221"/>
      <c r="J86" s="221"/>
      <c r="K86" s="221"/>
      <c r="L86" s="221"/>
      <c r="M86" s="221"/>
      <c r="N86" s="221"/>
      <c r="O86" s="165"/>
    </row>
    <row r="87" spans="2:15" ht="12">
      <c r="B87" s="47" t="s">
        <v>165</v>
      </c>
      <c r="C87" s="226"/>
      <c r="D87" s="221"/>
      <c r="E87" s="221"/>
      <c r="F87" s="221"/>
      <c r="G87" s="221"/>
      <c r="H87" s="221"/>
      <c r="I87" s="221"/>
      <c r="J87" s="221"/>
      <c r="K87" s="221"/>
      <c r="L87" s="221"/>
      <c r="M87" s="221"/>
      <c r="N87" s="221"/>
      <c r="O87" s="165"/>
    </row>
    <row r="88" spans="2:15" ht="12">
      <c r="B88" s="47" t="s">
        <v>166</v>
      </c>
      <c r="C88" s="226"/>
      <c r="D88" s="221"/>
      <c r="E88" s="221"/>
      <c r="F88" s="221"/>
      <c r="G88" s="221"/>
      <c r="H88" s="221"/>
      <c r="I88" s="221"/>
      <c r="J88" s="221"/>
      <c r="K88" s="221"/>
      <c r="L88" s="221"/>
      <c r="M88" s="221"/>
      <c r="N88" s="221"/>
      <c r="O88" s="165"/>
    </row>
    <row r="89" spans="2:15" ht="12">
      <c r="B89" s="47" t="s">
        <v>167</v>
      </c>
      <c r="C89" s="226"/>
      <c r="D89" s="221"/>
      <c r="E89" s="221"/>
      <c r="F89" s="221"/>
      <c r="G89" s="221"/>
      <c r="H89" s="221"/>
      <c r="I89" s="221"/>
      <c r="J89" s="221"/>
      <c r="K89" s="221"/>
      <c r="L89" s="221"/>
      <c r="M89" s="221"/>
      <c r="N89" s="221"/>
      <c r="O89" s="165"/>
    </row>
    <row r="91" ht="12">
      <c r="B91" s="216">
        <v>43770</v>
      </c>
    </row>
    <row r="92" spans="2:15" ht="12">
      <c r="B92" s="47" t="s">
        <v>2</v>
      </c>
      <c r="C92" s="226"/>
      <c r="D92" s="221"/>
      <c r="E92" s="221"/>
      <c r="F92" s="221"/>
      <c r="G92" s="221"/>
      <c r="H92" s="221"/>
      <c r="I92" s="221"/>
      <c r="J92" s="221"/>
      <c r="K92" s="221"/>
      <c r="L92" s="221"/>
      <c r="M92" s="221"/>
      <c r="N92" s="221"/>
      <c r="O92" s="165"/>
    </row>
    <row r="93" spans="2:15" ht="12">
      <c r="B93" s="47" t="s">
        <v>1</v>
      </c>
      <c r="C93" s="226"/>
      <c r="D93" s="221"/>
      <c r="E93" s="221"/>
      <c r="F93" s="221"/>
      <c r="G93" s="221"/>
      <c r="H93" s="221"/>
      <c r="I93" s="221"/>
      <c r="J93" s="221"/>
      <c r="K93" s="221"/>
      <c r="L93" s="221"/>
      <c r="M93" s="221"/>
      <c r="N93" s="221"/>
      <c r="O93" s="165"/>
    </row>
    <row r="94" spans="2:15" ht="12">
      <c r="B94" s="47" t="s">
        <v>164</v>
      </c>
      <c r="C94" s="226"/>
      <c r="D94" s="221"/>
      <c r="E94" s="221"/>
      <c r="F94" s="221"/>
      <c r="G94" s="221"/>
      <c r="H94" s="221"/>
      <c r="I94" s="221"/>
      <c r="J94" s="221"/>
      <c r="K94" s="221"/>
      <c r="L94" s="221"/>
      <c r="M94" s="221"/>
      <c r="N94" s="221"/>
      <c r="O94" s="165"/>
    </row>
    <row r="95" spans="2:15" ht="12">
      <c r="B95" s="47" t="s">
        <v>165</v>
      </c>
      <c r="C95" s="226"/>
      <c r="D95" s="221"/>
      <c r="E95" s="221"/>
      <c r="F95" s="221"/>
      <c r="G95" s="221"/>
      <c r="H95" s="221"/>
      <c r="I95" s="221"/>
      <c r="J95" s="221"/>
      <c r="K95" s="221"/>
      <c r="L95" s="221"/>
      <c r="M95" s="221"/>
      <c r="N95" s="221"/>
      <c r="O95" s="165"/>
    </row>
    <row r="96" spans="2:15" ht="12">
      <c r="B96" s="47" t="s">
        <v>166</v>
      </c>
      <c r="C96" s="226"/>
      <c r="D96" s="221"/>
      <c r="E96" s="221"/>
      <c r="F96" s="221"/>
      <c r="G96" s="221"/>
      <c r="H96" s="221"/>
      <c r="I96" s="221"/>
      <c r="J96" s="221"/>
      <c r="K96" s="221"/>
      <c r="L96" s="221"/>
      <c r="M96" s="221"/>
      <c r="N96" s="221"/>
      <c r="O96" s="165"/>
    </row>
    <row r="97" spans="2:15" ht="12">
      <c r="B97" s="47" t="s">
        <v>167</v>
      </c>
      <c r="C97" s="226"/>
      <c r="D97" s="221"/>
      <c r="E97" s="221"/>
      <c r="F97" s="221"/>
      <c r="G97" s="221"/>
      <c r="H97" s="221"/>
      <c r="I97" s="221"/>
      <c r="J97" s="221"/>
      <c r="K97" s="221"/>
      <c r="L97" s="221"/>
      <c r="M97" s="221"/>
      <c r="N97" s="221"/>
      <c r="O97" s="165"/>
    </row>
    <row r="99" ht="12">
      <c r="B99" s="216">
        <v>43800</v>
      </c>
    </row>
    <row r="100" spans="2:15" ht="12">
      <c r="B100" s="47" t="s">
        <v>2</v>
      </c>
      <c r="C100" s="226"/>
      <c r="D100" s="221"/>
      <c r="E100" s="221"/>
      <c r="F100" s="221"/>
      <c r="G100" s="221"/>
      <c r="H100" s="221"/>
      <c r="I100" s="221"/>
      <c r="J100" s="221"/>
      <c r="K100" s="221"/>
      <c r="L100" s="221"/>
      <c r="M100" s="221"/>
      <c r="N100" s="221"/>
      <c r="O100" s="165"/>
    </row>
    <row r="101" spans="2:15" ht="12">
      <c r="B101" s="47" t="s">
        <v>1</v>
      </c>
      <c r="C101" s="226"/>
      <c r="D101" s="221"/>
      <c r="E101" s="221"/>
      <c r="F101" s="221"/>
      <c r="G101" s="221"/>
      <c r="H101" s="221"/>
      <c r="I101" s="221"/>
      <c r="J101" s="221"/>
      <c r="K101" s="221"/>
      <c r="L101" s="221"/>
      <c r="M101" s="221"/>
      <c r="N101" s="221"/>
      <c r="O101" s="165"/>
    </row>
    <row r="102" spans="2:15" ht="12">
      <c r="B102" s="47" t="s">
        <v>164</v>
      </c>
      <c r="C102" s="226"/>
      <c r="D102" s="221"/>
      <c r="E102" s="221"/>
      <c r="F102" s="221"/>
      <c r="G102" s="221"/>
      <c r="H102" s="221"/>
      <c r="I102" s="221"/>
      <c r="J102" s="221"/>
      <c r="K102" s="221"/>
      <c r="L102" s="221"/>
      <c r="M102" s="221"/>
      <c r="N102" s="221"/>
      <c r="O102" s="165"/>
    </row>
    <row r="103" spans="2:15" ht="12">
      <c r="B103" s="47" t="s">
        <v>165</v>
      </c>
      <c r="C103" s="226"/>
      <c r="D103" s="221"/>
      <c r="E103" s="221"/>
      <c r="F103" s="221"/>
      <c r="G103" s="221"/>
      <c r="H103" s="221"/>
      <c r="I103" s="221"/>
      <c r="J103" s="221"/>
      <c r="K103" s="221"/>
      <c r="L103" s="221"/>
      <c r="M103" s="221"/>
      <c r="N103" s="221"/>
      <c r="O103" s="165"/>
    </row>
    <row r="104" spans="2:15" ht="12">
      <c r="B104" s="47" t="s">
        <v>166</v>
      </c>
      <c r="C104" s="226"/>
      <c r="D104" s="221"/>
      <c r="E104" s="221"/>
      <c r="F104" s="221"/>
      <c r="G104" s="221"/>
      <c r="H104" s="221"/>
      <c r="I104" s="221"/>
      <c r="J104" s="221"/>
      <c r="K104" s="221"/>
      <c r="L104" s="221"/>
      <c r="M104" s="221"/>
      <c r="N104" s="221"/>
      <c r="O104" s="165"/>
    </row>
    <row r="105" spans="2:15" ht="12">
      <c r="B105" s="47" t="s">
        <v>167</v>
      </c>
      <c r="C105" s="226"/>
      <c r="D105" s="221"/>
      <c r="E105" s="221"/>
      <c r="F105" s="221"/>
      <c r="G105" s="221"/>
      <c r="H105" s="221"/>
      <c r="I105" s="221"/>
      <c r="J105" s="221"/>
      <c r="K105" s="221"/>
      <c r="L105" s="221"/>
      <c r="M105" s="221"/>
      <c r="N105" s="221"/>
      <c r="O105" s="165"/>
    </row>
    <row r="107" ht="12">
      <c r="B107" s="216">
        <v>43831</v>
      </c>
    </row>
    <row r="108" spans="2:15" ht="12">
      <c r="B108" s="47" t="s">
        <v>2</v>
      </c>
      <c r="C108" s="226"/>
      <c r="D108" s="221"/>
      <c r="E108" s="221"/>
      <c r="F108" s="221"/>
      <c r="G108" s="221"/>
      <c r="H108" s="221"/>
      <c r="I108" s="221"/>
      <c r="J108" s="221"/>
      <c r="K108" s="221"/>
      <c r="L108" s="221"/>
      <c r="M108" s="221"/>
      <c r="N108" s="221"/>
      <c r="O108" s="165"/>
    </row>
    <row r="109" spans="2:15" ht="12">
      <c r="B109" s="47" t="s">
        <v>1</v>
      </c>
      <c r="C109" s="226"/>
      <c r="D109" s="221"/>
      <c r="E109" s="221"/>
      <c r="F109" s="221"/>
      <c r="G109" s="221"/>
      <c r="H109" s="221"/>
      <c r="I109" s="221"/>
      <c r="J109" s="221"/>
      <c r="K109" s="221"/>
      <c r="L109" s="221"/>
      <c r="M109" s="221"/>
      <c r="N109" s="221"/>
      <c r="O109" s="165"/>
    </row>
    <row r="110" spans="2:15" ht="12">
      <c r="B110" s="47" t="s">
        <v>164</v>
      </c>
      <c r="C110" s="226"/>
      <c r="D110" s="221"/>
      <c r="E110" s="221"/>
      <c r="F110" s="221"/>
      <c r="G110" s="221"/>
      <c r="H110" s="221"/>
      <c r="I110" s="221"/>
      <c r="J110" s="221"/>
      <c r="K110" s="221"/>
      <c r="L110" s="221"/>
      <c r="M110" s="221"/>
      <c r="N110" s="221"/>
      <c r="O110" s="165"/>
    </row>
    <row r="111" spans="2:15" ht="12">
      <c r="B111" s="47" t="s">
        <v>165</v>
      </c>
      <c r="C111" s="226"/>
      <c r="D111" s="221"/>
      <c r="E111" s="221"/>
      <c r="F111" s="221"/>
      <c r="G111" s="221"/>
      <c r="H111" s="221"/>
      <c r="I111" s="221"/>
      <c r="J111" s="221"/>
      <c r="K111" s="221"/>
      <c r="L111" s="221"/>
      <c r="M111" s="221"/>
      <c r="N111" s="221"/>
      <c r="O111" s="165"/>
    </row>
    <row r="112" spans="2:15" ht="12">
      <c r="B112" s="47" t="s">
        <v>166</v>
      </c>
      <c r="C112" s="226"/>
      <c r="D112" s="221"/>
      <c r="E112" s="221"/>
      <c r="F112" s="221"/>
      <c r="G112" s="221"/>
      <c r="H112" s="221"/>
      <c r="I112" s="221"/>
      <c r="J112" s="221"/>
      <c r="K112" s="221"/>
      <c r="L112" s="221"/>
      <c r="M112" s="221"/>
      <c r="N112" s="221"/>
      <c r="O112" s="165"/>
    </row>
    <row r="113" spans="2:15" ht="12">
      <c r="B113" s="47" t="s">
        <v>167</v>
      </c>
      <c r="C113" s="226"/>
      <c r="D113" s="221"/>
      <c r="E113" s="221"/>
      <c r="F113" s="221"/>
      <c r="G113" s="221"/>
      <c r="H113" s="221"/>
      <c r="I113" s="221"/>
      <c r="J113" s="221"/>
      <c r="K113" s="221"/>
      <c r="L113" s="221"/>
      <c r="M113" s="221"/>
      <c r="N113" s="221"/>
      <c r="O113" s="165"/>
    </row>
    <row r="115" ht="12">
      <c r="B115" s="216">
        <v>43862</v>
      </c>
    </row>
    <row r="116" spans="2:15" ht="12">
      <c r="B116" s="47" t="s">
        <v>2</v>
      </c>
      <c r="C116" s="226"/>
      <c r="D116" s="221"/>
      <c r="E116" s="221"/>
      <c r="F116" s="221"/>
      <c r="G116" s="221"/>
      <c r="H116" s="221"/>
      <c r="I116" s="221"/>
      <c r="J116" s="221"/>
      <c r="K116" s="221"/>
      <c r="L116" s="221"/>
      <c r="M116" s="221"/>
      <c r="N116" s="221"/>
      <c r="O116" s="165"/>
    </row>
    <row r="117" spans="2:15" ht="12">
      <c r="B117" s="47" t="s">
        <v>1</v>
      </c>
      <c r="C117" s="226"/>
      <c r="D117" s="221"/>
      <c r="E117" s="221"/>
      <c r="F117" s="221"/>
      <c r="G117" s="221"/>
      <c r="H117" s="221"/>
      <c r="I117" s="221"/>
      <c r="J117" s="221"/>
      <c r="K117" s="221"/>
      <c r="L117" s="221"/>
      <c r="M117" s="221"/>
      <c r="N117" s="221"/>
      <c r="O117" s="165"/>
    </row>
    <row r="118" spans="2:15" ht="12">
      <c r="B118" s="47" t="s">
        <v>164</v>
      </c>
      <c r="C118" s="226"/>
      <c r="D118" s="221"/>
      <c r="E118" s="221"/>
      <c r="F118" s="221"/>
      <c r="G118" s="221"/>
      <c r="H118" s="221"/>
      <c r="I118" s="221"/>
      <c r="J118" s="221"/>
      <c r="K118" s="221"/>
      <c r="L118" s="221"/>
      <c r="M118" s="221"/>
      <c r="N118" s="221"/>
      <c r="O118" s="165"/>
    </row>
    <row r="119" spans="2:15" ht="12">
      <c r="B119" s="47" t="s">
        <v>165</v>
      </c>
      <c r="C119" s="226"/>
      <c r="D119" s="221"/>
      <c r="E119" s="221"/>
      <c r="F119" s="221"/>
      <c r="G119" s="221"/>
      <c r="H119" s="221"/>
      <c r="I119" s="221"/>
      <c r="J119" s="221"/>
      <c r="K119" s="221"/>
      <c r="L119" s="221"/>
      <c r="M119" s="221"/>
      <c r="N119" s="221"/>
      <c r="O119" s="165"/>
    </row>
    <row r="120" spans="2:15" ht="12">
      <c r="B120" s="47" t="s">
        <v>166</v>
      </c>
      <c r="C120" s="226"/>
      <c r="D120" s="221"/>
      <c r="E120" s="221"/>
      <c r="F120" s="221"/>
      <c r="G120" s="221"/>
      <c r="H120" s="221"/>
      <c r="I120" s="221"/>
      <c r="J120" s="221"/>
      <c r="K120" s="221"/>
      <c r="L120" s="221"/>
      <c r="M120" s="221"/>
      <c r="N120" s="221"/>
      <c r="O120" s="165"/>
    </row>
    <row r="121" spans="2:15" ht="12">
      <c r="B121" s="47" t="s">
        <v>167</v>
      </c>
      <c r="C121" s="226"/>
      <c r="D121" s="221"/>
      <c r="E121" s="221"/>
      <c r="F121" s="221"/>
      <c r="G121" s="221"/>
      <c r="H121" s="221"/>
      <c r="I121" s="221"/>
      <c r="J121" s="221"/>
      <c r="K121" s="221"/>
      <c r="L121" s="221"/>
      <c r="M121" s="221"/>
      <c r="N121" s="221"/>
      <c r="O121" s="165"/>
    </row>
    <row r="123" ht="12">
      <c r="B123" s="216">
        <v>43891</v>
      </c>
    </row>
    <row r="124" ht="12">
      <c r="B124" s="47" t="s">
        <v>2</v>
      </c>
    </row>
    <row r="125" ht="12">
      <c r="B125" s="47" t="s">
        <v>1</v>
      </c>
    </row>
    <row r="126" ht="12">
      <c r="B126" s="47" t="s">
        <v>164</v>
      </c>
    </row>
    <row r="127" ht="12">
      <c r="B127" s="47" t="s">
        <v>165</v>
      </c>
    </row>
    <row r="128" ht="12">
      <c r="B128" s="47" t="s">
        <v>166</v>
      </c>
    </row>
    <row r="129" ht="12">
      <c r="B129" s="47" t="s">
        <v>167</v>
      </c>
    </row>
  </sheetData>
  <sheetProtection/>
  <mergeCells count="1">
    <mergeCell ref="Q1:AC1"/>
  </mergeCells>
  <printOptions gridLines="1"/>
  <pageMargins left="0.787401575" right="0.787401575" top="0.984251969" bottom="0.984251969" header="0" footer="0"/>
  <pageSetup horizontalDpi="300" verticalDpi="300" orientation="landscape" r:id="rId1"/>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dimension ref="A1:Q94"/>
  <sheetViews>
    <sheetView zoomScalePageLayoutView="0" workbookViewId="0" topLeftCell="A1">
      <selection activeCell="B93" sqref="B93:G94"/>
    </sheetView>
  </sheetViews>
  <sheetFormatPr defaultColWidth="9.140625" defaultRowHeight="12.75"/>
  <cols>
    <col min="1" max="1" width="4.140625" style="0" customWidth="1"/>
    <col min="2" max="2" width="7.140625" style="0" customWidth="1"/>
    <col min="3" max="3" width="19.57421875" style="0" customWidth="1"/>
    <col min="4" max="7" width="12.8515625" style="0" customWidth="1"/>
    <col min="8" max="8" width="7.140625" style="0" customWidth="1"/>
  </cols>
  <sheetData>
    <row r="1" spans="1:8" ht="12.75">
      <c r="A1" s="79" t="s">
        <v>89</v>
      </c>
      <c r="C1" s="298" t="s">
        <v>174</v>
      </c>
      <c r="D1" s="299"/>
      <c r="E1" s="299"/>
      <c r="F1" s="296" t="s">
        <v>107</v>
      </c>
      <c r="G1" s="296"/>
      <c r="H1" s="296"/>
    </row>
    <row r="2" spans="1:8" ht="12.75">
      <c r="A2" s="79" t="s">
        <v>90</v>
      </c>
      <c r="C2" s="296" t="s">
        <v>107</v>
      </c>
      <c r="D2" s="296"/>
      <c r="E2" s="296"/>
      <c r="F2" s="218" t="s">
        <v>144</v>
      </c>
      <c r="G2" s="217"/>
      <c r="H2" s="217"/>
    </row>
    <row r="3" spans="1:8" ht="12.75">
      <c r="A3" s="79" t="s">
        <v>91</v>
      </c>
      <c r="C3" s="298" t="s">
        <v>175</v>
      </c>
      <c r="D3" s="299"/>
      <c r="E3" s="299"/>
      <c r="F3" s="196" t="s">
        <v>126</v>
      </c>
      <c r="G3" s="197" t="str">
        <f>'RES-I'!G3</f>
        <v>2020/2021</v>
      </c>
      <c r="H3" s="82"/>
    </row>
    <row r="4" spans="1:8" ht="12.75">
      <c r="A4" s="80" t="s">
        <v>92</v>
      </c>
      <c r="C4" s="300" t="s">
        <v>176</v>
      </c>
      <c r="D4" s="300"/>
      <c r="E4" s="300"/>
      <c r="F4" s="82"/>
      <c r="G4" s="82"/>
      <c r="H4" s="82"/>
    </row>
    <row r="5" spans="1:8" ht="12.75">
      <c r="A5" s="301" t="s">
        <v>117</v>
      </c>
      <c r="B5" s="301"/>
      <c r="C5" s="219" t="s">
        <v>177</v>
      </c>
      <c r="D5" s="160"/>
      <c r="E5" s="160"/>
      <c r="F5" s="82"/>
      <c r="G5" s="82"/>
      <c r="H5" s="82"/>
    </row>
    <row r="7" spans="2:8" s="31" customFormat="1" ht="15">
      <c r="B7" s="281" t="s">
        <v>84</v>
      </c>
      <c r="C7" s="281"/>
      <c r="D7" s="281"/>
      <c r="E7" s="281"/>
      <c r="F7" s="281"/>
      <c r="G7" s="281"/>
      <c r="H7" s="281"/>
    </row>
    <row r="8" spans="2:8" s="31" customFormat="1" ht="15">
      <c r="B8" s="302" t="s">
        <v>85</v>
      </c>
      <c r="C8" s="302"/>
      <c r="D8" s="302"/>
      <c r="E8" s="302"/>
      <c r="F8" s="302"/>
      <c r="G8" s="302"/>
      <c r="H8" s="302"/>
    </row>
    <row r="11" spans="2:4" s="31" customFormat="1" ht="12.75">
      <c r="B11" s="297" t="str">
        <f>CONCATENATE("RESOLUÇÃO Nº ",C4)</f>
        <v>RESOLUÇÃO Nº 12 - SAFRA 2018/2019</v>
      </c>
      <c r="C11" s="297"/>
      <c r="D11" s="297"/>
    </row>
    <row r="13" spans="2:17" ht="76.5" customHeight="1">
      <c r="B13" s="286" t="str">
        <f>CONCATENATE(I13,C1," ",C2,J13," ",C3,,K13,,G3,L13,C5,".")</f>
        <v>Os Conselheiros do Consecana-Paraná reunidos no dia 27 de Fevereiro de 2.019 na sede da Alcopar, na cidade de Maringá, atendendo os dispositivos disciplinados no Capítulo II do Título II do seu Regulamento, aprovam e divulgam o preço do ATR realizado em Fevereiro de 2.019 e a projeção atualizada do preço da tonelada de cana-de-açúcar básica para a safra de 2020/2021, que passam a vigorar a partir de 01 de Março de 2.019.</v>
      </c>
      <c r="C13" s="287"/>
      <c r="D13" s="287"/>
      <c r="E13" s="287"/>
      <c r="F13" s="287"/>
      <c r="G13" s="287"/>
      <c r="H13" s="287"/>
      <c r="I13" s="76" t="s">
        <v>131</v>
      </c>
      <c r="J13" s="76" t="s">
        <v>132</v>
      </c>
      <c r="K13" s="76" t="s">
        <v>127</v>
      </c>
      <c r="L13" s="76" t="s">
        <v>128</v>
      </c>
      <c r="M13" s="87" t="s">
        <v>102</v>
      </c>
      <c r="N13" s="88" t="s">
        <v>93</v>
      </c>
      <c r="O13" s="53"/>
      <c r="P13" s="53"/>
      <c r="Q13" s="53"/>
    </row>
    <row r="14" spans="1:8" ht="12.75" customHeight="1">
      <c r="A14" s="166" t="str">
        <f>CONCATENATE(K12," ",B2," ",L12)</f>
        <v>  </v>
      </c>
      <c r="B14" s="167"/>
      <c r="C14" s="167"/>
      <c r="D14" s="167"/>
      <c r="E14" s="167"/>
      <c r="F14" s="167"/>
      <c r="G14" s="167"/>
      <c r="H14" s="166"/>
    </row>
    <row r="15" spans="2:8" ht="42.75" customHeight="1">
      <c r="B15" s="303" t="str">
        <f>CONCATENATE(M13," ",C3," ",N13)</f>
        <v>Os preços médios do Kg do ATR, por produto, obtidos no mês de Fevereiro de 2.019 conforme levantamento efetuado pelo Departamento de Economia Rural e Extensão da Universidade Federal do Paraná, são apresentados a seguir:</v>
      </c>
      <c r="C15" s="303"/>
      <c r="D15" s="303"/>
      <c r="E15" s="303"/>
      <c r="F15" s="303"/>
      <c r="G15" s="303"/>
      <c r="H15" s="303"/>
    </row>
    <row r="17" spans="2:7" ht="15">
      <c r="B17" s="40"/>
      <c r="C17" s="292" t="str">
        <f>+ATR!B1</f>
        <v>PREÇO DO ATR REALIZADO EM JULHO/2020</v>
      </c>
      <c r="D17" s="292"/>
      <c r="E17" s="292"/>
      <c r="F17" s="292"/>
      <c r="G17" s="292"/>
    </row>
    <row r="18" spans="3:7" ht="12.75">
      <c r="C18" s="291" t="str">
        <f>CONCATENATE("SAFRA ",G3,"   -    PREÇOS EM REAIS A VISTA")</f>
        <v>SAFRA 2020/2021   -    PREÇOS EM REAIS A VISTA</v>
      </c>
      <c r="D18" s="292"/>
      <c r="E18" s="292"/>
      <c r="F18" s="292"/>
      <c r="G18" s="292"/>
    </row>
    <row r="19" spans="3:7" ht="15">
      <c r="C19" s="1"/>
      <c r="D19" s="1"/>
      <c r="E19" s="1"/>
      <c r="F19" s="1"/>
      <c r="G19" s="1"/>
    </row>
    <row r="20" spans="3:7" ht="13.5" thickBot="1">
      <c r="C20" s="304" t="s">
        <v>19</v>
      </c>
      <c r="D20" s="304"/>
      <c r="E20" s="304"/>
      <c r="F20" s="304"/>
      <c r="G20" s="304"/>
    </row>
    <row r="21" spans="3:7" ht="13.5">
      <c r="C21" s="310" t="s">
        <v>18</v>
      </c>
      <c r="D21" s="305" t="s">
        <v>51</v>
      </c>
      <c r="E21" s="306"/>
      <c r="F21" s="305" t="s">
        <v>54</v>
      </c>
      <c r="G21" s="307"/>
    </row>
    <row r="22" spans="3:7" ht="13.5">
      <c r="C22" s="311"/>
      <c r="D22" s="54" t="s">
        <v>52</v>
      </c>
      <c r="E22" s="54" t="s">
        <v>53</v>
      </c>
      <c r="F22" s="54" t="s">
        <v>52</v>
      </c>
      <c r="G22" s="55" t="s">
        <v>53</v>
      </c>
    </row>
    <row r="23" spans="3:7" ht="13.5">
      <c r="C23" s="56" t="s">
        <v>1</v>
      </c>
      <c r="D23" s="57">
        <f>+ATR!C7</f>
        <v>0.02500632471513311</v>
      </c>
      <c r="E23" s="58">
        <f>+ATR!D7</f>
        <v>60.62</v>
      </c>
      <c r="F23" s="57">
        <f>+ATR!E7</f>
        <v>0.024769929553519154</v>
      </c>
      <c r="G23" s="59">
        <f>+ATR!F7</f>
        <v>62.283085699866504</v>
      </c>
    </row>
    <row r="24" spans="3:7" ht="13.5">
      <c r="C24" s="56" t="s">
        <v>2</v>
      </c>
      <c r="D24" s="57">
        <f>+ATR!C8</f>
        <v>0.3040679284929377</v>
      </c>
      <c r="E24" s="58">
        <f>+ATR!D8</f>
        <v>68.69</v>
      </c>
      <c r="F24" s="57">
        <f>+ATR!E8</f>
        <v>0.2841485539705261</v>
      </c>
      <c r="G24" s="59">
        <f>+ATR!F8</f>
        <v>64.8693724295975</v>
      </c>
    </row>
    <row r="25" spans="3:7" ht="13.5">
      <c r="C25" s="171" t="s">
        <v>146</v>
      </c>
      <c r="D25" s="57">
        <f>+ATR!C9</f>
        <v>0.017767773884031186</v>
      </c>
      <c r="E25" s="58">
        <f>+ATR!D9</f>
        <v>1792.02</v>
      </c>
      <c r="F25" s="57">
        <f>+ATR!E9</f>
        <v>0.008200442884081728</v>
      </c>
      <c r="G25" s="59">
        <f>+ATR!F9</f>
        <v>1757.000986087139</v>
      </c>
    </row>
    <row r="26" spans="3:7" ht="13.5">
      <c r="C26" s="171" t="s">
        <v>147</v>
      </c>
      <c r="D26" s="57">
        <f>+ATR!C10</f>
        <v>0.21087003792206324</v>
      </c>
      <c r="E26" s="58">
        <f>+ATR!D10</f>
        <v>1820.11</v>
      </c>
      <c r="F26" s="57">
        <f>+ATR!E10</f>
        <v>0.23497449071729296</v>
      </c>
      <c r="G26" s="59">
        <f>+ATR!F10</f>
        <v>1727.2594253584532</v>
      </c>
    </row>
    <row r="27" spans="3:7" ht="13.5">
      <c r="C27" s="171" t="s">
        <v>151</v>
      </c>
      <c r="D27" s="57">
        <f>+ATR!C11</f>
        <v>0.0009624054240189789</v>
      </c>
      <c r="E27" s="58">
        <f>+ATR!D11</f>
        <v>1934.67</v>
      </c>
      <c r="F27" s="57">
        <f>+ATR!E11</f>
        <v>0.0010842938700735773</v>
      </c>
      <c r="G27" s="59">
        <f>+ATR!F11</f>
        <v>1928.6012881355932</v>
      </c>
    </row>
    <row r="28" spans="3:7" ht="13.5">
      <c r="C28" s="171" t="s">
        <v>148</v>
      </c>
      <c r="D28" s="57">
        <f>+ATR!C13</f>
        <v>0.08515652835865126</v>
      </c>
      <c r="E28" s="58">
        <f>+ATR!D13</f>
        <v>1967.006</v>
      </c>
      <c r="F28" s="57">
        <f>+ATR!E13</f>
        <v>0.030709007885576362</v>
      </c>
      <c r="G28" s="59">
        <f>+ATR!F13</f>
        <v>1947.65744812756</v>
      </c>
    </row>
    <row r="29" spans="3:7" ht="13.5">
      <c r="C29" s="171" t="s">
        <v>149</v>
      </c>
      <c r="D29" s="57">
        <f>+ATR!C14</f>
        <v>0.3464589812206111</v>
      </c>
      <c r="E29" s="58">
        <f>+ATR!D14</f>
        <v>1629.33</v>
      </c>
      <c r="F29" s="57">
        <f>+ATR!E14</f>
        <v>0.36897204764233477</v>
      </c>
      <c r="G29" s="59">
        <f>+ATR!F14</f>
        <v>1486.870761073827</v>
      </c>
    </row>
    <row r="30" spans="3:7" ht="14.25" thickBot="1">
      <c r="C30" s="60" t="s">
        <v>152</v>
      </c>
      <c r="D30" s="61">
        <f>+ATR!C15</f>
        <v>0.009710019982553393</v>
      </c>
      <c r="E30" s="62">
        <f>+ATR!D15</f>
        <v>1691.93</v>
      </c>
      <c r="F30" s="61">
        <f>+ATR!E15</f>
        <v>0.04714123347659546</v>
      </c>
      <c r="G30" s="63">
        <f>+ATR!F15</f>
        <v>1555.7136041207477</v>
      </c>
    </row>
    <row r="31" spans="3:7" ht="10.5" customHeight="1">
      <c r="C31" s="187" t="s">
        <v>150</v>
      </c>
      <c r="D31" s="188">
        <f>ATR!C12</f>
        <v>0.22960021723011342</v>
      </c>
      <c r="E31" s="189">
        <f>ATR!D12</f>
        <v>1818.4164319027311</v>
      </c>
      <c r="F31" s="188">
        <f>ATR!E12</f>
        <v>0.24425922747144824</v>
      </c>
      <c r="G31" s="189">
        <f>ATR!F12</f>
        <v>1729.1517089066415</v>
      </c>
    </row>
    <row r="32" spans="3:7" ht="10.5" customHeight="1">
      <c r="C32" s="187" t="s">
        <v>155</v>
      </c>
      <c r="D32" s="188">
        <f>ATR!C16</f>
        <v>0.44132552956181587</v>
      </c>
      <c r="E32" s="189">
        <f>ATR!D16</f>
        <v>1695.864023422796</v>
      </c>
      <c r="F32" s="188">
        <f>ATR!E16</f>
        <v>0.44682228900450655</v>
      </c>
      <c r="G32" s="189">
        <f>ATR!F16</f>
        <v>1525.802656307446</v>
      </c>
    </row>
    <row r="33" spans="3:7" ht="15">
      <c r="C33" s="1"/>
      <c r="D33" s="2"/>
      <c r="E33" s="2"/>
      <c r="F33" s="2"/>
      <c r="G33" s="2"/>
    </row>
    <row r="34" spans="3:7" ht="15">
      <c r="C34" s="1"/>
      <c r="D34" s="2"/>
      <c r="E34" s="2"/>
      <c r="F34" s="2"/>
      <c r="G34" s="2"/>
    </row>
    <row r="35" spans="3:7" ht="13.5" thickBot="1">
      <c r="C35" s="304" t="s">
        <v>78</v>
      </c>
      <c r="D35" s="304"/>
      <c r="E35" s="304"/>
      <c r="F35" s="304"/>
      <c r="G35" s="304"/>
    </row>
    <row r="36" spans="3:7" ht="13.5">
      <c r="C36" s="310" t="s">
        <v>18</v>
      </c>
      <c r="D36" s="305" t="s">
        <v>51</v>
      </c>
      <c r="E36" s="306"/>
      <c r="F36" s="305" t="s">
        <v>54</v>
      </c>
      <c r="G36" s="307"/>
    </row>
    <row r="37" spans="3:7" ht="13.5">
      <c r="C37" s="311"/>
      <c r="D37" s="54" t="s">
        <v>52</v>
      </c>
      <c r="E37" s="54" t="s">
        <v>53</v>
      </c>
      <c r="F37" s="54" t="s">
        <v>52</v>
      </c>
      <c r="G37" s="55" t="s">
        <v>53</v>
      </c>
    </row>
    <row r="38" spans="3:7" ht="13.5">
      <c r="C38" s="56" t="s">
        <v>1</v>
      </c>
      <c r="D38" s="64">
        <f aca="true" t="shared" si="0" ref="D38:D45">D23</f>
        <v>0.02500632471513311</v>
      </c>
      <c r="E38" s="65">
        <f>+ATR!D24</f>
        <v>0.6873539780848021</v>
      </c>
      <c r="F38" s="64">
        <f aca="true" t="shared" si="1" ref="F38:F45">F23</f>
        <v>0.024769929553519154</v>
      </c>
      <c r="G38" s="66">
        <f>+ATR!F24</f>
        <v>0.7062112623424595</v>
      </c>
    </row>
    <row r="39" spans="3:7" ht="13.5">
      <c r="C39" s="56" t="s">
        <v>2</v>
      </c>
      <c r="D39" s="64">
        <f t="shared" si="0"/>
        <v>0.3040679284929377</v>
      </c>
      <c r="E39" s="65">
        <f>+ATR!D25</f>
        <v>0.7819869893810388</v>
      </c>
      <c r="F39" s="64">
        <f t="shared" si="1"/>
        <v>0.2841485539705261</v>
      </c>
      <c r="G39" s="66">
        <f>+ATR!F25</f>
        <v>0.7384918510592274</v>
      </c>
    </row>
    <row r="40" spans="3:7" ht="13.5">
      <c r="C40" s="171" t="s">
        <v>146</v>
      </c>
      <c r="D40" s="64">
        <f t="shared" si="0"/>
        <v>0.017767773884031186</v>
      </c>
      <c r="E40" s="65">
        <f>+ATR!D26</f>
        <v>0.630471032802674</v>
      </c>
      <c r="F40" s="64">
        <f t="shared" si="1"/>
        <v>0.008200442884081728</v>
      </c>
      <c r="G40" s="66">
        <f>+ATR!F26</f>
        <v>0.6181505933715445</v>
      </c>
    </row>
    <row r="41" spans="3:7" ht="13.5">
      <c r="C41" s="171" t="s">
        <v>147</v>
      </c>
      <c r="D41" s="64">
        <f t="shared" si="0"/>
        <v>0.21087003792206324</v>
      </c>
      <c r="E41" s="65">
        <f>+ATR!D27</f>
        <v>0.6403536966744093</v>
      </c>
      <c r="F41" s="64">
        <f t="shared" si="1"/>
        <v>0.23497449071729296</v>
      </c>
      <c r="G41" s="66">
        <f>+ATR!F27</f>
        <v>0.6076868750482123</v>
      </c>
    </row>
    <row r="42" spans="3:7" ht="13.5">
      <c r="C42" s="171" t="s">
        <v>151</v>
      </c>
      <c r="D42" s="64">
        <f t="shared" si="0"/>
        <v>0.0009624054240189789</v>
      </c>
      <c r="E42" s="65">
        <f>+ATR!D28</f>
        <v>0.6806583592997565</v>
      </c>
      <c r="F42" s="64">
        <f t="shared" si="1"/>
        <v>0.0010842938700735773</v>
      </c>
      <c r="G42" s="66">
        <f>+ATR!F28</f>
        <v>0.6785232564343118</v>
      </c>
    </row>
    <row r="43" spans="3:7" ht="13.5">
      <c r="C43" s="171" t="s">
        <v>148</v>
      </c>
      <c r="D43" s="64">
        <f t="shared" si="0"/>
        <v>0.08515652835865126</v>
      </c>
      <c r="E43" s="65">
        <f>+ATR!D30</f>
        <v>0.7222318488736474</v>
      </c>
      <c r="F43" s="64">
        <f t="shared" si="1"/>
        <v>0.030709007885576362</v>
      </c>
      <c r="G43" s="66">
        <f>+ATR!F30</f>
        <v>0.7151275795466298</v>
      </c>
    </row>
    <row r="44" spans="3:7" ht="13.5">
      <c r="C44" s="171" t="s">
        <v>149</v>
      </c>
      <c r="D44" s="64">
        <f t="shared" si="0"/>
        <v>0.3464589812206111</v>
      </c>
      <c r="E44" s="65">
        <f>+ATR!D31</f>
        <v>0.5982462780109974</v>
      </c>
      <c r="F44" s="64">
        <f t="shared" si="1"/>
        <v>0.36897204764233477</v>
      </c>
      <c r="G44" s="66">
        <f>+ATR!F31</f>
        <v>0.5459390661779971</v>
      </c>
    </row>
    <row r="45" spans="3:7" ht="13.5">
      <c r="C45" s="192" t="s">
        <v>152</v>
      </c>
      <c r="D45" s="64">
        <f t="shared" si="0"/>
        <v>0.009710019982553393</v>
      </c>
      <c r="E45" s="65">
        <f>+ATR!D32</f>
        <v>0.6212313191036481</v>
      </c>
      <c r="F45" s="64">
        <f t="shared" si="1"/>
        <v>0.04714123347659546</v>
      </c>
      <c r="G45" s="66">
        <f>+ATR!F32</f>
        <v>0.5712163118068848</v>
      </c>
    </row>
    <row r="46" spans="3:7" ht="9.75" customHeight="1">
      <c r="C46" s="316" t="s">
        <v>79</v>
      </c>
      <c r="D46" s="312">
        <f>+ATR!C35</f>
        <v>0.6767</v>
      </c>
      <c r="E46" s="318"/>
      <c r="F46" s="312">
        <f>+ATR!E35</f>
        <v>0.6263</v>
      </c>
      <c r="G46" s="313"/>
    </row>
    <row r="47" spans="3:7" ht="12.75" thickBot="1">
      <c r="C47" s="317"/>
      <c r="D47" s="314"/>
      <c r="E47" s="319"/>
      <c r="F47" s="314"/>
      <c r="G47" s="315"/>
    </row>
    <row r="48" spans="3:7" ht="10.5" customHeight="1">
      <c r="C48" s="187" t="s">
        <v>150</v>
      </c>
      <c r="D48" s="188">
        <f>D31</f>
        <v>0.22960021723011342</v>
      </c>
      <c r="E48" s="190">
        <f>ATR!D29</f>
        <v>0.6397578631304719</v>
      </c>
      <c r="F48" s="188">
        <f>F31</f>
        <v>0.24425922747144824</v>
      </c>
      <c r="G48" s="190">
        <f>ATR!F29</f>
        <v>0.6083526209455694</v>
      </c>
    </row>
    <row r="49" spans="3:7" ht="10.5" customHeight="1">
      <c r="C49" s="187" t="s">
        <v>155</v>
      </c>
      <c r="D49" s="188">
        <f>D32</f>
        <v>0.44132552956181587</v>
      </c>
      <c r="E49" s="190">
        <f>ATR!D33</f>
        <v>0.6226757869955397</v>
      </c>
      <c r="F49" s="188">
        <f>F32</f>
        <v>0.44682228900450655</v>
      </c>
      <c r="G49" s="190">
        <f>ATR!F33</f>
        <v>0.5602338139696824</v>
      </c>
    </row>
    <row r="50" spans="1:8" s="5" customFormat="1" ht="15">
      <c r="A50"/>
      <c r="B50"/>
      <c r="C50" s="1"/>
      <c r="D50" s="1"/>
      <c r="E50" s="1"/>
      <c r="F50" s="1"/>
      <c r="G50" s="1"/>
      <c r="H50" s="162"/>
    </row>
    <row r="51" spans="1:8" ht="15">
      <c r="A51" s="5"/>
      <c r="B51" s="162" t="s">
        <v>86</v>
      </c>
      <c r="C51" s="162"/>
      <c r="D51" s="162"/>
      <c r="E51" s="162"/>
      <c r="F51" s="162"/>
      <c r="G51" s="162"/>
      <c r="H51" s="50"/>
    </row>
    <row r="52" spans="2:7" ht="12.75">
      <c r="B52" s="50"/>
      <c r="C52" s="291" t="str">
        <f>CONCATENATE("SAFRA ",G3,"   -    PREÇOS EM REAIS A VISTA")</f>
        <v>SAFRA 2020/2021   -    PREÇOS EM REAIS A VISTA</v>
      </c>
      <c r="D52" s="292"/>
      <c r="E52" s="292"/>
      <c r="F52" s="292"/>
      <c r="G52" s="50"/>
    </row>
    <row r="53" spans="3:5" ht="15">
      <c r="C53" s="1"/>
      <c r="D53" s="1"/>
      <c r="E53" s="1"/>
    </row>
    <row r="54" spans="3:7" ht="13.5" thickBot="1">
      <c r="C54" s="295" t="s">
        <v>19</v>
      </c>
      <c r="D54" s="295"/>
      <c r="E54" s="295"/>
      <c r="F54" s="50"/>
      <c r="G54" s="50"/>
    </row>
    <row r="55" spans="3:5" ht="13.5">
      <c r="C55" s="156" t="s">
        <v>18</v>
      </c>
      <c r="D55" s="154" t="s">
        <v>0</v>
      </c>
      <c r="E55" s="157" t="s">
        <v>79</v>
      </c>
    </row>
    <row r="56" spans="3:5" ht="13.5">
      <c r="C56" s="56" t="s">
        <v>1</v>
      </c>
      <c r="D56" s="68">
        <f>CANA!G7</f>
        <v>0.006563700858264647</v>
      </c>
      <c r="E56" s="72">
        <f>CANA!H7</f>
        <v>62.283085699866504</v>
      </c>
    </row>
    <row r="57" spans="3:5" ht="13.5">
      <c r="C57" s="56" t="s">
        <v>2</v>
      </c>
      <c r="D57" s="68">
        <f>CANA!G8</f>
        <v>0.4124513959559958</v>
      </c>
      <c r="E57" s="72">
        <f>CANA!H8</f>
        <v>70.2918948565264</v>
      </c>
    </row>
    <row r="58" spans="3:5" ht="13.5">
      <c r="C58" s="171" t="s">
        <v>146</v>
      </c>
      <c r="D58" s="68">
        <f>CANA!G9</f>
        <v>0.002173007956284248</v>
      </c>
      <c r="E58" s="72">
        <f>CANA!H9</f>
        <v>1757.000986087139</v>
      </c>
    </row>
    <row r="59" spans="3:5" ht="13.5">
      <c r="C59" s="171" t="s">
        <v>147</v>
      </c>
      <c r="D59" s="68">
        <f>CANA!G10</f>
        <v>0.19158864643819487</v>
      </c>
      <c r="E59" s="72">
        <f>CANA!H10</f>
        <v>1866.0911668464528</v>
      </c>
    </row>
    <row r="60" spans="3:5" ht="13.5">
      <c r="C60" s="171" t="s">
        <v>151</v>
      </c>
      <c r="D60" s="68">
        <f>CANA!G11</f>
        <v>0.00028732340922632543</v>
      </c>
      <c r="E60" s="72">
        <f>CANA!H11</f>
        <v>1928.6012881355934</v>
      </c>
    </row>
    <row r="61" spans="3:5" ht="13.5">
      <c r="C61" s="171" t="s">
        <v>148</v>
      </c>
      <c r="D61" s="68">
        <f>CANA!G13</f>
        <v>0.008137477378750814</v>
      </c>
      <c r="E61" s="72">
        <f>CANA!H13</f>
        <v>1947.65744812756</v>
      </c>
    </row>
    <row r="62" spans="3:5" ht="13.5">
      <c r="C62" s="171" t="s">
        <v>149</v>
      </c>
      <c r="D62" s="68">
        <f>CANA!G14</f>
        <v>0.36630665007703417</v>
      </c>
      <c r="E62" s="72">
        <f>CANA!H14</f>
        <v>1654.2009308135596</v>
      </c>
    </row>
    <row r="63" spans="3:5" ht="14.25" thickBot="1">
      <c r="C63" s="60" t="s">
        <v>152</v>
      </c>
      <c r="D63" s="69">
        <f>CANA!G15</f>
        <v>0.012491797926248976</v>
      </c>
      <c r="E63" s="73">
        <f>CANA!H15</f>
        <v>1555.7136041207475</v>
      </c>
    </row>
    <row r="64" spans="3:7" ht="15">
      <c r="C64" s="1"/>
      <c r="D64" s="1"/>
      <c r="E64" s="3"/>
      <c r="F64" s="3"/>
      <c r="G64" s="1"/>
    </row>
    <row r="65" spans="3:7" ht="13.5" thickBot="1">
      <c r="C65" s="31" t="s">
        <v>78</v>
      </c>
      <c r="D65" s="31"/>
      <c r="E65" s="47"/>
      <c r="F65" s="47"/>
      <c r="G65" s="47"/>
    </row>
    <row r="66" spans="3:5" ht="13.5">
      <c r="C66" s="156" t="s">
        <v>18</v>
      </c>
      <c r="D66" s="154" t="s">
        <v>0</v>
      </c>
      <c r="E66" s="155" t="s">
        <v>79</v>
      </c>
    </row>
    <row r="67" spans="3:5" ht="13.5">
      <c r="C67" s="56" t="s">
        <v>1</v>
      </c>
      <c r="D67" s="68">
        <f aca="true" t="shared" si="2" ref="D67:D74">+D56</f>
        <v>0.006563700858264647</v>
      </c>
      <c r="E67" s="74">
        <f>CANA!H23</f>
        <v>0.7062112623424595</v>
      </c>
    </row>
    <row r="68" spans="3:5" ht="13.5">
      <c r="C68" s="56" t="s">
        <v>2</v>
      </c>
      <c r="D68" s="68">
        <f t="shared" si="2"/>
        <v>0.4124513959559958</v>
      </c>
      <c r="E68" s="74">
        <f>CANA!H24</f>
        <v>0.8002234275257479</v>
      </c>
    </row>
    <row r="69" spans="3:5" ht="13.5">
      <c r="C69" s="171" t="s">
        <v>146</v>
      </c>
      <c r="D69" s="68">
        <f t="shared" si="2"/>
        <v>0.002173007956284248</v>
      </c>
      <c r="E69" s="74">
        <f>CANA!H25</f>
        <v>0.6181505933715445</v>
      </c>
    </row>
    <row r="70" spans="3:5" ht="13.5">
      <c r="C70" s="171" t="s">
        <v>147</v>
      </c>
      <c r="D70" s="68">
        <f t="shared" si="2"/>
        <v>0.19158864643819487</v>
      </c>
      <c r="E70" s="74">
        <f>CANA!H26</f>
        <v>0.6565308563886734</v>
      </c>
    </row>
    <row r="71" spans="3:5" ht="13.5">
      <c r="C71" s="171" t="s">
        <v>151</v>
      </c>
      <c r="D71" s="68">
        <f t="shared" si="2"/>
        <v>0.00028732340922632543</v>
      </c>
      <c r="E71" s="74">
        <f>CANA!H27</f>
        <v>0.6785232564343118</v>
      </c>
    </row>
    <row r="72" spans="3:5" ht="13.5">
      <c r="C72" s="171" t="s">
        <v>148</v>
      </c>
      <c r="D72" s="68">
        <f t="shared" si="2"/>
        <v>0.008137477378750814</v>
      </c>
      <c r="E72" s="74">
        <f>CANA!H29</f>
        <v>0.7151275795466298</v>
      </c>
    </row>
    <row r="73" spans="3:5" ht="13.5">
      <c r="C73" s="171" t="s">
        <v>149</v>
      </c>
      <c r="D73" s="68">
        <f t="shared" si="2"/>
        <v>0.36630665007703417</v>
      </c>
      <c r="E73" s="74">
        <f>CANA!H30</f>
        <v>0.6073782167771657</v>
      </c>
    </row>
    <row r="74" spans="3:5" ht="13.5">
      <c r="C74" s="192" t="s">
        <v>152</v>
      </c>
      <c r="D74" s="68">
        <f t="shared" si="2"/>
        <v>0.012491797926248976</v>
      </c>
      <c r="E74" s="74">
        <f>CANA!H31</f>
        <v>0.5712163118068847</v>
      </c>
    </row>
    <row r="75" spans="3:6" ht="14.25" thickBot="1">
      <c r="C75" s="75" t="s">
        <v>5</v>
      </c>
      <c r="D75" s="158"/>
      <c r="E75" s="159">
        <f>CANA!G34</f>
        <v>0.6975</v>
      </c>
      <c r="F75" s="200"/>
    </row>
    <row r="76" spans="3:8" ht="15">
      <c r="C76" s="1"/>
      <c r="D76" s="1"/>
      <c r="E76" s="1"/>
      <c r="H76" s="67"/>
    </row>
    <row r="77" spans="2:8" ht="13.5">
      <c r="B77" s="67"/>
      <c r="C77" s="292" t="s">
        <v>87</v>
      </c>
      <c r="D77" s="292"/>
      <c r="E77" s="292"/>
      <c r="F77" s="292"/>
      <c r="G77" s="67"/>
      <c r="H77" s="67"/>
    </row>
    <row r="78" spans="2:7" ht="13.5">
      <c r="B78" s="67"/>
      <c r="C78" s="292" t="s">
        <v>83</v>
      </c>
      <c r="D78" s="292"/>
      <c r="E78" s="292"/>
      <c r="F78" s="292"/>
      <c r="G78" s="67"/>
    </row>
    <row r="79" spans="3:5" ht="15.75" thickBot="1">
      <c r="C79" s="5"/>
      <c r="D79" s="1"/>
      <c r="E79" s="1"/>
    </row>
    <row r="80" spans="3:7" ht="15" thickBot="1" thickTop="1">
      <c r="C80" s="293"/>
      <c r="D80" s="293"/>
      <c r="E80" s="85" t="s">
        <v>26</v>
      </c>
      <c r="F80" s="85" t="s">
        <v>27</v>
      </c>
      <c r="G80" s="70"/>
    </row>
    <row r="81" spans="3:7" ht="15" thickBot="1" thickTop="1">
      <c r="C81" s="294" t="s">
        <v>88</v>
      </c>
      <c r="D81" s="294"/>
      <c r="E81" s="83">
        <f>CANA!G43</f>
        <v>76.17</v>
      </c>
      <c r="F81" s="84">
        <f>CANA!H43</f>
        <v>85.07</v>
      </c>
      <c r="G81" s="94"/>
    </row>
    <row r="82" spans="3:7" ht="15" thickBot="1" thickTop="1">
      <c r="C82" s="290" t="s">
        <v>25</v>
      </c>
      <c r="D82" s="290"/>
      <c r="E82" s="83">
        <f>CANA!G44</f>
        <v>0</v>
      </c>
      <c r="F82" s="84">
        <f>CANA!H44</f>
        <v>0</v>
      </c>
      <c r="G82" s="71"/>
    </row>
    <row r="83" spans="3:7" ht="15" thickBot="1" thickTop="1">
      <c r="C83" s="290" t="s">
        <v>29</v>
      </c>
      <c r="D83" s="290"/>
      <c r="E83" s="83">
        <f>CANA!G45</f>
        <v>76.17</v>
      </c>
      <c r="F83" s="84">
        <f>CANA!H45</f>
        <v>85.07</v>
      </c>
      <c r="G83" s="94"/>
    </row>
    <row r="84" ht="12.75" thickTop="1"/>
    <row r="86" ht="13.5">
      <c r="H86" s="51"/>
    </row>
    <row r="87" spans="2:7" ht="13.5">
      <c r="B87" s="288" t="str">
        <f>CONCATENATE("Maringá, ",C1)</f>
        <v>Maringá, 27 de Fevereiro de 2.019</v>
      </c>
      <c r="C87" s="288"/>
      <c r="D87" s="288"/>
      <c r="E87" s="288"/>
      <c r="F87" s="288"/>
      <c r="G87" s="288"/>
    </row>
    <row r="92" ht="12">
      <c r="H92" s="32"/>
    </row>
    <row r="93" spans="2:11" ht="13.5">
      <c r="B93" s="308" t="s">
        <v>145</v>
      </c>
      <c r="C93" s="308"/>
      <c r="D93" s="308"/>
      <c r="E93" s="309" t="s">
        <v>173</v>
      </c>
      <c r="F93" s="308"/>
      <c r="G93" s="308"/>
      <c r="H93" s="52"/>
      <c r="I93" s="308" t="s">
        <v>172</v>
      </c>
      <c r="J93" s="308"/>
      <c r="K93" s="308"/>
    </row>
    <row r="94" spans="2:7" ht="13.5">
      <c r="B94" s="288" t="s">
        <v>133</v>
      </c>
      <c r="C94" s="288"/>
      <c r="D94" s="288"/>
      <c r="E94" s="288" t="s">
        <v>134</v>
      </c>
      <c r="F94" s="289"/>
      <c r="G94" s="289"/>
    </row>
  </sheetData>
  <sheetProtection/>
  <mergeCells count="38">
    <mergeCell ref="I93:K93"/>
    <mergeCell ref="E93:G93"/>
    <mergeCell ref="B93:D93"/>
    <mergeCell ref="F21:G21"/>
    <mergeCell ref="C21:C22"/>
    <mergeCell ref="C36:C37"/>
    <mergeCell ref="F46:G47"/>
    <mergeCell ref="C46:C47"/>
    <mergeCell ref="D46:E47"/>
    <mergeCell ref="B87:G87"/>
    <mergeCell ref="C77:F77"/>
    <mergeCell ref="B15:H15"/>
    <mergeCell ref="C18:G18"/>
    <mergeCell ref="C20:G20"/>
    <mergeCell ref="C35:G35"/>
    <mergeCell ref="D36:E36"/>
    <mergeCell ref="D21:E21"/>
    <mergeCell ref="F36:G36"/>
    <mergeCell ref="C17:G17"/>
    <mergeCell ref="F1:H1"/>
    <mergeCell ref="B11:D11"/>
    <mergeCell ref="C1:E1"/>
    <mergeCell ref="C3:E3"/>
    <mergeCell ref="C4:E4"/>
    <mergeCell ref="A5:B5"/>
    <mergeCell ref="B7:H7"/>
    <mergeCell ref="B8:H8"/>
    <mergeCell ref="C2:E2"/>
    <mergeCell ref="B13:H13"/>
    <mergeCell ref="B94:D94"/>
    <mergeCell ref="E94:G94"/>
    <mergeCell ref="C83:D83"/>
    <mergeCell ref="C52:F52"/>
    <mergeCell ref="C78:F78"/>
    <mergeCell ref="C80:D80"/>
    <mergeCell ref="C81:D81"/>
    <mergeCell ref="C82:D82"/>
    <mergeCell ref="C54:E54"/>
  </mergeCells>
  <printOptions/>
  <pageMargins left="0.9" right="0.787401575" top="0.984251969" bottom="0.984251969" header="0.492125985" footer="0.492125985"/>
  <pageSetup fitToHeight="2" horizontalDpi="600" verticalDpi="600" orientation="portrait"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Vania Di Addario Guimaraes</cp:lastModifiedBy>
  <cp:lastPrinted>2020-06-25T19:29:42Z</cp:lastPrinted>
  <dcterms:created xsi:type="dcterms:W3CDTF">1999-08-12T11:27:10Z</dcterms:created>
  <dcterms:modified xsi:type="dcterms:W3CDTF">2021-12-02T14:31:35Z</dcterms:modified>
  <cp:category/>
  <cp:version/>
  <cp:contentType/>
  <cp:contentStatus/>
</cp:coreProperties>
</file>